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<sst xmlns="http://schemas.openxmlformats.org/spreadsheetml/2006/main" count="410" uniqueCount="14">
  <si>
    <t>附件</t>
  </si>
  <si>
    <t>海南省民族研究所
2023年公开招聘事业编制人员资格初审合格人员名单</t>
  </si>
  <si>
    <t>序号</t>
  </si>
  <si>
    <t>报考号</t>
  </si>
  <si>
    <t>岗位代码</t>
  </si>
  <si>
    <t>岗位名称</t>
  </si>
  <si>
    <t>姓名</t>
  </si>
  <si>
    <t>性别</t>
  </si>
  <si>
    <t>备注</t>
  </si>
  <si>
    <t>社会经济发展研究室专业技术人员</t>
  </si>
  <si>
    <t>历史文化研究室专业技术人员</t>
  </si>
  <si>
    <t>行政办公室会计</t>
  </si>
  <si>
    <t>544120230822141215124380</t>
  </si>
  <si>
    <t>李群花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</si>
</sst>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黑体"/>
      <family val="3"/>
    </font>
    <font>
      <sz val="20"/>
      <color indexed="8"/>
      <name val="方正小标宋简体"/>
      <family val="0"/>
    </font>
    <font>
      <sz val="12"/>
      <color indexed="8"/>
      <name val="黑体"/>
      <family val="3"/>
    </font>
    <font>
      <sz val="11"/>
      <color indexed="8"/>
      <name val="方正仿宋_GBK"/>
      <family val="4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20"/>
      <color theme="1"/>
      <name val="方正小标宋简体"/>
      <family val="0"/>
    </font>
    <font>
      <sz val="12"/>
      <color theme="1"/>
      <name val="黑体"/>
      <family val="3"/>
    </font>
    <font>
      <sz val="11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2"/>
  <sheetViews>
    <sheetView tabSelected="1" workbookViewId="0" topLeftCell="A64">
      <selection activeCell="G80" sqref="G80"/>
    </sheetView>
  </sheetViews>
  <sheetFormatPr defaultColWidth="9.00390625" defaultRowHeight="30" customHeight="1"/>
  <cols>
    <col min="1" max="1" width="5.28125" style="2" customWidth="1"/>
    <col min="2" max="2" width="27.57421875" style="2" customWidth="1"/>
    <col min="3" max="3" width="8.57421875" style="2" customWidth="1"/>
    <col min="4" max="4" width="19.421875" style="2" customWidth="1"/>
    <col min="5" max="5" width="7.57421875" style="2" customWidth="1"/>
    <col min="6" max="6" width="6.8515625" style="2" customWidth="1"/>
    <col min="7" max="7" width="11.7109375" style="3" customWidth="1"/>
    <col min="8" max="16384" width="9.00390625" style="2" customWidth="1"/>
  </cols>
  <sheetData>
    <row r="1" ht="30" customHeight="1">
      <c r="A1" s="4" t="s">
        <v>0</v>
      </c>
    </row>
    <row r="2" spans="1:7" ht="58.5" customHeight="1">
      <c r="A2" s="5" t="s">
        <v>1</v>
      </c>
      <c r="B2" s="6"/>
      <c r="C2" s="6"/>
      <c r="D2" s="6"/>
      <c r="E2" s="6"/>
      <c r="F2" s="6"/>
      <c r="G2" s="7"/>
    </row>
    <row r="3" spans="1:7" s="1" customFormat="1" ht="3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</row>
    <row r="4" spans="1:7" ht="30" customHeight="1">
      <c r="A4" s="10">
        <v>1</v>
      </c>
      <c r="B4" s="11" t="str">
        <f>"544120230810093127123855"</f>
        <v>544120230810093127123855</v>
      </c>
      <c r="C4" s="11" t="str">
        <f aca="true" t="shared" si="0" ref="C4:C67">"0101"</f>
        <v>0101</v>
      </c>
      <c r="D4" s="11" t="s">
        <v>9</v>
      </c>
      <c r="E4" s="11" t="str">
        <f>"符珊珊"</f>
        <v>符珊珊</v>
      </c>
      <c r="F4" s="11" t="str">
        <f>"女"</f>
        <v>女</v>
      </c>
      <c r="G4" s="12"/>
    </row>
    <row r="5" spans="1:7" ht="30" customHeight="1">
      <c r="A5" s="10">
        <v>2</v>
      </c>
      <c r="B5" s="11" t="str">
        <f>"544120230810094529123858"</f>
        <v>544120230810094529123858</v>
      </c>
      <c r="C5" s="11" t="str">
        <f t="shared" si="0"/>
        <v>0101</v>
      </c>
      <c r="D5" s="11" t="s">
        <v>9</v>
      </c>
      <c r="E5" s="11" t="str">
        <f>"黄淑珍"</f>
        <v>黄淑珍</v>
      </c>
      <c r="F5" s="11" t="str">
        <f>"女"</f>
        <v>女</v>
      </c>
      <c r="G5" s="12"/>
    </row>
    <row r="6" spans="1:7" ht="30" customHeight="1">
      <c r="A6" s="10">
        <v>3</v>
      </c>
      <c r="B6" s="11" t="str">
        <f>"544120230810095047123863"</f>
        <v>544120230810095047123863</v>
      </c>
      <c r="C6" s="11" t="str">
        <f t="shared" si="0"/>
        <v>0101</v>
      </c>
      <c r="D6" s="11" t="s">
        <v>9</v>
      </c>
      <c r="E6" s="11" t="str">
        <f>"卢亚妹"</f>
        <v>卢亚妹</v>
      </c>
      <c r="F6" s="11" t="str">
        <f>"女"</f>
        <v>女</v>
      </c>
      <c r="G6" s="12"/>
    </row>
    <row r="7" spans="1:7" ht="30" customHeight="1">
      <c r="A7" s="10">
        <v>4</v>
      </c>
      <c r="B7" s="11" t="str">
        <f>"544120230810104655123875"</f>
        <v>544120230810104655123875</v>
      </c>
      <c r="C7" s="11" t="str">
        <f t="shared" si="0"/>
        <v>0101</v>
      </c>
      <c r="D7" s="11" t="s">
        <v>9</v>
      </c>
      <c r="E7" s="11" t="str">
        <f>"王家仿"</f>
        <v>王家仿</v>
      </c>
      <c r="F7" s="11" t="str">
        <f>"男"</f>
        <v>男</v>
      </c>
      <c r="G7" s="12"/>
    </row>
    <row r="8" spans="1:7" ht="30" customHeight="1">
      <c r="A8" s="10">
        <v>5</v>
      </c>
      <c r="B8" s="11" t="str">
        <f>"544120230810115939123889"</f>
        <v>544120230810115939123889</v>
      </c>
      <c r="C8" s="11" t="str">
        <f t="shared" si="0"/>
        <v>0101</v>
      </c>
      <c r="D8" s="11" t="s">
        <v>9</v>
      </c>
      <c r="E8" s="11" t="str">
        <f>"杨末"</f>
        <v>杨末</v>
      </c>
      <c r="F8" s="11" t="str">
        <f>"女"</f>
        <v>女</v>
      </c>
      <c r="G8" s="12"/>
    </row>
    <row r="9" spans="1:7" ht="30" customHeight="1">
      <c r="A9" s="10">
        <v>6</v>
      </c>
      <c r="B9" s="11" t="str">
        <f>"544120230810113522123883"</f>
        <v>544120230810113522123883</v>
      </c>
      <c r="C9" s="11" t="str">
        <f t="shared" si="0"/>
        <v>0101</v>
      </c>
      <c r="D9" s="11" t="s">
        <v>9</v>
      </c>
      <c r="E9" s="11" t="str">
        <f>"陈漠楠"</f>
        <v>陈漠楠</v>
      </c>
      <c r="F9" s="11" t="str">
        <f>"女"</f>
        <v>女</v>
      </c>
      <c r="G9" s="12"/>
    </row>
    <row r="10" spans="1:7" ht="30" customHeight="1">
      <c r="A10" s="10">
        <v>7</v>
      </c>
      <c r="B10" s="11" t="str">
        <f>"544120230810122408123893"</f>
        <v>544120230810122408123893</v>
      </c>
      <c r="C10" s="11" t="str">
        <f t="shared" si="0"/>
        <v>0101</v>
      </c>
      <c r="D10" s="11" t="s">
        <v>9</v>
      </c>
      <c r="E10" s="11" t="str">
        <f>"丰开妍"</f>
        <v>丰开妍</v>
      </c>
      <c r="F10" s="11" t="str">
        <f>"女"</f>
        <v>女</v>
      </c>
      <c r="G10" s="12"/>
    </row>
    <row r="11" spans="1:7" ht="30" customHeight="1">
      <c r="A11" s="10">
        <v>8</v>
      </c>
      <c r="B11" s="11" t="str">
        <f>"544120230810133730123899"</f>
        <v>544120230810133730123899</v>
      </c>
      <c r="C11" s="11" t="str">
        <f t="shared" si="0"/>
        <v>0101</v>
      </c>
      <c r="D11" s="11" t="s">
        <v>9</v>
      </c>
      <c r="E11" s="11" t="str">
        <f>"刘如英"</f>
        <v>刘如英</v>
      </c>
      <c r="F11" s="11" t="str">
        <f>"女"</f>
        <v>女</v>
      </c>
      <c r="G11" s="12"/>
    </row>
    <row r="12" spans="1:7" ht="30" customHeight="1">
      <c r="A12" s="10">
        <v>9</v>
      </c>
      <c r="B12" s="11" t="str">
        <f>"544120230810123354123896"</f>
        <v>544120230810123354123896</v>
      </c>
      <c r="C12" s="11" t="str">
        <f t="shared" si="0"/>
        <v>0101</v>
      </c>
      <c r="D12" s="11" t="s">
        <v>9</v>
      </c>
      <c r="E12" s="11" t="str">
        <f>"杨自强"</f>
        <v>杨自强</v>
      </c>
      <c r="F12" s="11" t="str">
        <f>"男"</f>
        <v>男</v>
      </c>
      <c r="G12" s="12"/>
    </row>
    <row r="13" spans="1:7" ht="30" customHeight="1">
      <c r="A13" s="10">
        <v>10</v>
      </c>
      <c r="B13" s="11" t="str">
        <f>"544120230810115544123887"</f>
        <v>544120230810115544123887</v>
      </c>
      <c r="C13" s="11" t="str">
        <f t="shared" si="0"/>
        <v>0101</v>
      </c>
      <c r="D13" s="11" t="s">
        <v>9</v>
      </c>
      <c r="E13" s="11" t="str">
        <f>"卓文君"</f>
        <v>卓文君</v>
      </c>
      <c r="F13" s="11" t="str">
        <f>"女"</f>
        <v>女</v>
      </c>
      <c r="G13" s="12"/>
    </row>
    <row r="14" spans="1:7" ht="30" customHeight="1">
      <c r="A14" s="10">
        <v>11</v>
      </c>
      <c r="B14" s="11" t="str">
        <f>"544120230810152724123913"</f>
        <v>544120230810152724123913</v>
      </c>
      <c r="C14" s="11" t="str">
        <f t="shared" si="0"/>
        <v>0101</v>
      </c>
      <c r="D14" s="11" t="s">
        <v>9</v>
      </c>
      <c r="E14" s="11" t="str">
        <f>"董朝咪"</f>
        <v>董朝咪</v>
      </c>
      <c r="F14" s="11" t="str">
        <f>"女"</f>
        <v>女</v>
      </c>
      <c r="G14" s="12"/>
    </row>
    <row r="15" spans="1:7" ht="30" customHeight="1">
      <c r="A15" s="10">
        <v>12</v>
      </c>
      <c r="B15" s="11" t="str">
        <f>"544120230810154012123914"</f>
        <v>544120230810154012123914</v>
      </c>
      <c r="C15" s="11" t="str">
        <f t="shared" si="0"/>
        <v>0101</v>
      </c>
      <c r="D15" s="11" t="s">
        <v>9</v>
      </c>
      <c r="E15" s="11" t="str">
        <f>"陈朝熙"</f>
        <v>陈朝熙</v>
      </c>
      <c r="F15" s="11" t="str">
        <f>"男"</f>
        <v>男</v>
      </c>
      <c r="G15" s="12"/>
    </row>
    <row r="16" spans="1:7" ht="30" customHeight="1">
      <c r="A16" s="10">
        <v>13</v>
      </c>
      <c r="B16" s="11" t="str">
        <f>"544120230810154059123916"</f>
        <v>544120230810154059123916</v>
      </c>
      <c r="C16" s="11" t="str">
        <f t="shared" si="0"/>
        <v>0101</v>
      </c>
      <c r="D16" s="11" t="s">
        <v>9</v>
      </c>
      <c r="E16" s="11" t="str">
        <f>"吉世锦"</f>
        <v>吉世锦</v>
      </c>
      <c r="F16" s="11" t="str">
        <f>"男"</f>
        <v>男</v>
      </c>
      <c r="G16" s="12"/>
    </row>
    <row r="17" spans="1:7" ht="30" customHeight="1">
      <c r="A17" s="10">
        <v>14</v>
      </c>
      <c r="B17" s="11" t="str">
        <f>"544120230810160503123921"</f>
        <v>544120230810160503123921</v>
      </c>
      <c r="C17" s="11" t="str">
        <f t="shared" si="0"/>
        <v>0101</v>
      </c>
      <c r="D17" s="11" t="s">
        <v>9</v>
      </c>
      <c r="E17" s="11" t="str">
        <f>"黄静"</f>
        <v>黄静</v>
      </c>
      <c r="F17" s="11" t="str">
        <f>"女"</f>
        <v>女</v>
      </c>
      <c r="G17" s="12"/>
    </row>
    <row r="18" spans="1:7" ht="30" customHeight="1">
      <c r="A18" s="10">
        <v>15</v>
      </c>
      <c r="B18" s="11" t="str">
        <f>"544120230810164447123931"</f>
        <v>544120230810164447123931</v>
      </c>
      <c r="C18" s="11" t="str">
        <f t="shared" si="0"/>
        <v>0101</v>
      </c>
      <c r="D18" s="11" t="s">
        <v>9</v>
      </c>
      <c r="E18" s="11" t="str">
        <f>"黄前立"</f>
        <v>黄前立</v>
      </c>
      <c r="F18" s="11" t="str">
        <f>"男"</f>
        <v>男</v>
      </c>
      <c r="G18" s="12"/>
    </row>
    <row r="19" spans="1:7" ht="30" customHeight="1">
      <c r="A19" s="10">
        <v>16</v>
      </c>
      <c r="B19" s="11" t="str">
        <f>"544120230810181435123941"</f>
        <v>544120230810181435123941</v>
      </c>
      <c r="C19" s="11" t="str">
        <f t="shared" si="0"/>
        <v>0101</v>
      </c>
      <c r="D19" s="11" t="s">
        <v>9</v>
      </c>
      <c r="E19" s="11" t="str">
        <f>"谭娜"</f>
        <v>谭娜</v>
      </c>
      <c r="F19" s="11" t="str">
        <f>"女"</f>
        <v>女</v>
      </c>
      <c r="G19" s="12"/>
    </row>
    <row r="20" spans="1:7" ht="30" customHeight="1">
      <c r="A20" s="10">
        <v>17</v>
      </c>
      <c r="B20" s="11" t="str">
        <f>"544120230810191817123948"</f>
        <v>544120230810191817123948</v>
      </c>
      <c r="C20" s="11" t="str">
        <f t="shared" si="0"/>
        <v>0101</v>
      </c>
      <c r="D20" s="11" t="s">
        <v>9</v>
      </c>
      <c r="E20" s="11" t="str">
        <f>"刘庆"</f>
        <v>刘庆</v>
      </c>
      <c r="F20" s="11" t="str">
        <f>"女"</f>
        <v>女</v>
      </c>
      <c r="G20" s="12"/>
    </row>
    <row r="21" spans="1:7" ht="30" customHeight="1">
      <c r="A21" s="10">
        <v>18</v>
      </c>
      <c r="B21" s="11" t="str">
        <f>"544120230810213814123958"</f>
        <v>544120230810213814123958</v>
      </c>
      <c r="C21" s="11" t="str">
        <f t="shared" si="0"/>
        <v>0101</v>
      </c>
      <c r="D21" s="11" t="s">
        <v>9</v>
      </c>
      <c r="E21" s="11" t="str">
        <f>"陈均建"</f>
        <v>陈均建</v>
      </c>
      <c r="F21" s="11" t="str">
        <f>"男"</f>
        <v>男</v>
      </c>
      <c r="G21" s="12"/>
    </row>
    <row r="22" spans="1:7" ht="30" customHeight="1">
      <c r="A22" s="10">
        <v>19</v>
      </c>
      <c r="B22" s="11" t="str">
        <f>"544120230810220634123962"</f>
        <v>544120230810220634123962</v>
      </c>
      <c r="C22" s="11" t="str">
        <f t="shared" si="0"/>
        <v>0101</v>
      </c>
      <c r="D22" s="11" t="s">
        <v>9</v>
      </c>
      <c r="E22" s="11" t="str">
        <f>"吉秀怡"</f>
        <v>吉秀怡</v>
      </c>
      <c r="F22" s="11" t="str">
        <f>"女"</f>
        <v>女</v>
      </c>
      <c r="G22" s="12"/>
    </row>
    <row r="23" spans="1:7" ht="30" customHeight="1">
      <c r="A23" s="10">
        <v>20</v>
      </c>
      <c r="B23" s="11" t="str">
        <f>"544120230810214924123961"</f>
        <v>544120230810214924123961</v>
      </c>
      <c r="C23" s="11" t="str">
        <f t="shared" si="0"/>
        <v>0101</v>
      </c>
      <c r="D23" s="11" t="s">
        <v>9</v>
      </c>
      <c r="E23" s="11" t="str">
        <f>"吴清仪"</f>
        <v>吴清仪</v>
      </c>
      <c r="F23" s="11" t="str">
        <f>"男"</f>
        <v>男</v>
      </c>
      <c r="G23" s="12"/>
    </row>
    <row r="24" spans="1:7" ht="30" customHeight="1">
      <c r="A24" s="10">
        <v>21</v>
      </c>
      <c r="B24" s="11" t="str">
        <f>"544120230810232836123967"</f>
        <v>544120230810232836123967</v>
      </c>
      <c r="C24" s="11" t="str">
        <f t="shared" si="0"/>
        <v>0101</v>
      </c>
      <c r="D24" s="11" t="s">
        <v>9</v>
      </c>
      <c r="E24" s="11" t="str">
        <f>"符崇乐"</f>
        <v>符崇乐</v>
      </c>
      <c r="F24" s="11" t="str">
        <f>"女"</f>
        <v>女</v>
      </c>
      <c r="G24" s="12"/>
    </row>
    <row r="25" spans="1:7" ht="30" customHeight="1">
      <c r="A25" s="10">
        <v>22</v>
      </c>
      <c r="B25" s="11" t="str">
        <f>"544120230811094314123977"</f>
        <v>544120230811094314123977</v>
      </c>
      <c r="C25" s="11" t="str">
        <f t="shared" si="0"/>
        <v>0101</v>
      </c>
      <c r="D25" s="11" t="s">
        <v>9</v>
      </c>
      <c r="E25" s="11" t="str">
        <f>"王发顺"</f>
        <v>王发顺</v>
      </c>
      <c r="F25" s="11" t="str">
        <f>"男"</f>
        <v>男</v>
      </c>
      <c r="G25" s="12"/>
    </row>
    <row r="26" spans="1:7" ht="30" customHeight="1">
      <c r="A26" s="10">
        <v>23</v>
      </c>
      <c r="B26" s="11" t="str">
        <f>"544120230811093606123976"</f>
        <v>544120230811093606123976</v>
      </c>
      <c r="C26" s="11" t="str">
        <f t="shared" si="0"/>
        <v>0101</v>
      </c>
      <c r="D26" s="11" t="s">
        <v>9</v>
      </c>
      <c r="E26" s="11" t="str">
        <f>"王祖欣"</f>
        <v>王祖欣</v>
      </c>
      <c r="F26" s="11" t="str">
        <f>"女"</f>
        <v>女</v>
      </c>
      <c r="G26" s="12"/>
    </row>
    <row r="27" spans="1:7" ht="30" customHeight="1">
      <c r="A27" s="10">
        <v>24</v>
      </c>
      <c r="B27" s="11" t="str">
        <f>"544120230811102453123988"</f>
        <v>544120230811102453123988</v>
      </c>
      <c r="C27" s="11" t="str">
        <f t="shared" si="0"/>
        <v>0101</v>
      </c>
      <c r="D27" s="11" t="s">
        <v>9</v>
      </c>
      <c r="E27" s="11" t="str">
        <f>"谭美秀"</f>
        <v>谭美秀</v>
      </c>
      <c r="F27" s="11" t="str">
        <f>"女"</f>
        <v>女</v>
      </c>
      <c r="G27" s="12"/>
    </row>
    <row r="28" spans="1:7" ht="30" customHeight="1">
      <c r="A28" s="10">
        <v>25</v>
      </c>
      <c r="B28" s="11" t="str">
        <f>"544120230811091856123973"</f>
        <v>544120230811091856123973</v>
      </c>
      <c r="C28" s="11" t="str">
        <f t="shared" si="0"/>
        <v>0101</v>
      </c>
      <c r="D28" s="11" t="s">
        <v>9</v>
      </c>
      <c r="E28" s="11" t="str">
        <f>"符瑞女"</f>
        <v>符瑞女</v>
      </c>
      <c r="F28" s="11" t="str">
        <f>"女"</f>
        <v>女</v>
      </c>
      <c r="G28" s="12"/>
    </row>
    <row r="29" spans="1:7" ht="30" customHeight="1">
      <c r="A29" s="10">
        <v>26</v>
      </c>
      <c r="B29" s="11" t="str">
        <f>"544120230811105259123994"</f>
        <v>544120230811105259123994</v>
      </c>
      <c r="C29" s="11" t="str">
        <f t="shared" si="0"/>
        <v>0101</v>
      </c>
      <c r="D29" s="11" t="s">
        <v>9</v>
      </c>
      <c r="E29" s="11" t="str">
        <f>"许国紫"</f>
        <v>许国紫</v>
      </c>
      <c r="F29" s="11" t="str">
        <f>"女"</f>
        <v>女</v>
      </c>
      <c r="G29" s="12"/>
    </row>
    <row r="30" spans="1:7" ht="30" customHeight="1">
      <c r="A30" s="10">
        <v>27</v>
      </c>
      <c r="B30" s="11" t="str">
        <f>"544120230811094827123981"</f>
        <v>544120230811094827123981</v>
      </c>
      <c r="C30" s="11" t="str">
        <f t="shared" si="0"/>
        <v>0101</v>
      </c>
      <c r="D30" s="11" t="s">
        <v>9</v>
      </c>
      <c r="E30" s="11" t="str">
        <f>"吕婧怡"</f>
        <v>吕婧怡</v>
      </c>
      <c r="F30" s="11" t="str">
        <f>"女"</f>
        <v>女</v>
      </c>
      <c r="G30" s="12"/>
    </row>
    <row r="31" spans="1:7" ht="30" customHeight="1">
      <c r="A31" s="10">
        <v>28</v>
      </c>
      <c r="B31" s="11" t="str">
        <f>"544120230811133753124004"</f>
        <v>544120230811133753124004</v>
      </c>
      <c r="C31" s="11" t="str">
        <f t="shared" si="0"/>
        <v>0101</v>
      </c>
      <c r="D31" s="11" t="s">
        <v>9</v>
      </c>
      <c r="E31" s="11" t="str">
        <f>"林世鹏"</f>
        <v>林世鹏</v>
      </c>
      <c r="F31" s="11" t="str">
        <f>"男"</f>
        <v>男</v>
      </c>
      <c r="G31" s="12"/>
    </row>
    <row r="32" spans="1:7" ht="30" customHeight="1">
      <c r="A32" s="10">
        <v>29</v>
      </c>
      <c r="B32" s="11" t="str">
        <f>"544120230810214541123959"</f>
        <v>544120230810214541123959</v>
      </c>
      <c r="C32" s="11" t="str">
        <f t="shared" si="0"/>
        <v>0101</v>
      </c>
      <c r="D32" s="11" t="s">
        <v>9</v>
      </c>
      <c r="E32" s="11" t="str">
        <f>"王彩岚"</f>
        <v>王彩岚</v>
      </c>
      <c r="F32" s="11" t="str">
        <f>"女"</f>
        <v>女</v>
      </c>
      <c r="G32" s="12"/>
    </row>
    <row r="33" spans="1:7" ht="30" customHeight="1">
      <c r="A33" s="10">
        <v>30</v>
      </c>
      <c r="B33" s="11" t="str">
        <f>"544120230811151745124011"</f>
        <v>544120230811151745124011</v>
      </c>
      <c r="C33" s="11" t="str">
        <f t="shared" si="0"/>
        <v>0101</v>
      </c>
      <c r="D33" s="11" t="s">
        <v>9</v>
      </c>
      <c r="E33" s="11" t="str">
        <f>"李慧璠"</f>
        <v>李慧璠</v>
      </c>
      <c r="F33" s="11" t="str">
        <f>"女"</f>
        <v>女</v>
      </c>
      <c r="G33" s="12"/>
    </row>
    <row r="34" spans="1:7" ht="30" customHeight="1">
      <c r="A34" s="10">
        <v>31</v>
      </c>
      <c r="B34" s="11" t="str">
        <f>"544120230811194235124023"</f>
        <v>544120230811194235124023</v>
      </c>
      <c r="C34" s="11" t="str">
        <f t="shared" si="0"/>
        <v>0101</v>
      </c>
      <c r="D34" s="11" t="s">
        <v>9</v>
      </c>
      <c r="E34" s="11" t="str">
        <f>"王珈雪"</f>
        <v>王珈雪</v>
      </c>
      <c r="F34" s="11" t="str">
        <f>"女"</f>
        <v>女</v>
      </c>
      <c r="G34" s="12"/>
    </row>
    <row r="35" spans="1:7" ht="30" customHeight="1">
      <c r="A35" s="10">
        <v>32</v>
      </c>
      <c r="B35" s="11" t="str">
        <f>"544120230811225604124035"</f>
        <v>544120230811225604124035</v>
      </c>
      <c r="C35" s="11" t="str">
        <f t="shared" si="0"/>
        <v>0101</v>
      </c>
      <c r="D35" s="11" t="s">
        <v>9</v>
      </c>
      <c r="E35" s="11" t="str">
        <f>"吉婷婷"</f>
        <v>吉婷婷</v>
      </c>
      <c r="F35" s="11" t="str">
        <f>"女"</f>
        <v>女</v>
      </c>
      <c r="G35" s="12"/>
    </row>
    <row r="36" spans="1:7" ht="30" customHeight="1">
      <c r="A36" s="10">
        <v>33</v>
      </c>
      <c r="B36" s="11" t="str">
        <f>"544120230811073039123969"</f>
        <v>544120230811073039123969</v>
      </c>
      <c r="C36" s="11" t="str">
        <f t="shared" si="0"/>
        <v>0101</v>
      </c>
      <c r="D36" s="11" t="s">
        <v>9</v>
      </c>
      <c r="E36" s="11" t="str">
        <f>"孙考业"</f>
        <v>孙考业</v>
      </c>
      <c r="F36" s="11" t="str">
        <f>"男"</f>
        <v>男</v>
      </c>
      <c r="G36" s="12"/>
    </row>
    <row r="37" spans="1:7" ht="30" customHeight="1">
      <c r="A37" s="10">
        <v>34</v>
      </c>
      <c r="B37" s="11" t="str">
        <f>"544120230812083615124039"</f>
        <v>544120230812083615124039</v>
      </c>
      <c r="C37" s="11" t="str">
        <f t="shared" si="0"/>
        <v>0101</v>
      </c>
      <c r="D37" s="11" t="s">
        <v>9</v>
      </c>
      <c r="E37" s="11" t="str">
        <f>"苏精灵"</f>
        <v>苏精灵</v>
      </c>
      <c r="F37" s="11" t="str">
        <f>"女"</f>
        <v>女</v>
      </c>
      <c r="G37" s="12"/>
    </row>
    <row r="38" spans="1:7" ht="30" customHeight="1">
      <c r="A38" s="10">
        <v>35</v>
      </c>
      <c r="B38" s="11" t="str">
        <f>"544120230812091732124041"</f>
        <v>544120230812091732124041</v>
      </c>
      <c r="C38" s="11" t="str">
        <f t="shared" si="0"/>
        <v>0101</v>
      </c>
      <c r="D38" s="11" t="s">
        <v>9</v>
      </c>
      <c r="E38" s="11" t="str">
        <f>"杨小平"</f>
        <v>杨小平</v>
      </c>
      <c r="F38" s="11" t="str">
        <f>"女"</f>
        <v>女</v>
      </c>
      <c r="G38" s="12"/>
    </row>
    <row r="39" spans="1:7" ht="30" customHeight="1">
      <c r="A39" s="10">
        <v>36</v>
      </c>
      <c r="B39" s="11" t="str">
        <f>"544120230812105737124044"</f>
        <v>544120230812105737124044</v>
      </c>
      <c r="C39" s="11" t="str">
        <f t="shared" si="0"/>
        <v>0101</v>
      </c>
      <c r="D39" s="11" t="s">
        <v>9</v>
      </c>
      <c r="E39" s="11" t="str">
        <f>"李文海"</f>
        <v>李文海</v>
      </c>
      <c r="F39" s="11" t="str">
        <f>"男"</f>
        <v>男</v>
      </c>
      <c r="G39" s="12"/>
    </row>
    <row r="40" spans="1:7" ht="30" customHeight="1">
      <c r="A40" s="10">
        <v>37</v>
      </c>
      <c r="B40" s="11" t="str">
        <f>"544120230810094207123856"</f>
        <v>544120230810094207123856</v>
      </c>
      <c r="C40" s="11" t="str">
        <f t="shared" si="0"/>
        <v>0101</v>
      </c>
      <c r="D40" s="11" t="s">
        <v>9</v>
      </c>
      <c r="E40" s="11" t="str">
        <f>"罗茹"</f>
        <v>罗茹</v>
      </c>
      <c r="F40" s="11" t="str">
        <f aca="true" t="shared" si="1" ref="F40:F48">"女"</f>
        <v>女</v>
      </c>
      <c r="G40" s="12"/>
    </row>
    <row r="41" spans="1:7" ht="30" customHeight="1">
      <c r="A41" s="10">
        <v>38</v>
      </c>
      <c r="B41" s="11" t="str">
        <f>"544120230810150059123909"</f>
        <v>544120230810150059123909</v>
      </c>
      <c r="C41" s="11" t="str">
        <f t="shared" si="0"/>
        <v>0101</v>
      </c>
      <c r="D41" s="11" t="s">
        <v>9</v>
      </c>
      <c r="E41" s="11" t="str">
        <f>"盆桂梅"</f>
        <v>盆桂梅</v>
      </c>
      <c r="F41" s="11" t="str">
        <f t="shared" si="1"/>
        <v>女</v>
      </c>
      <c r="G41" s="12"/>
    </row>
    <row r="42" spans="1:7" ht="30" customHeight="1">
      <c r="A42" s="10">
        <v>39</v>
      </c>
      <c r="B42" s="11" t="str">
        <f>"544120230812202237124074"</f>
        <v>544120230812202237124074</v>
      </c>
      <c r="C42" s="11" t="str">
        <f t="shared" si="0"/>
        <v>0101</v>
      </c>
      <c r="D42" s="11" t="s">
        <v>9</v>
      </c>
      <c r="E42" s="11" t="str">
        <f>"滕泽欣"</f>
        <v>滕泽欣</v>
      </c>
      <c r="F42" s="11" t="str">
        <f t="shared" si="1"/>
        <v>女</v>
      </c>
      <c r="G42" s="12"/>
    </row>
    <row r="43" spans="1:7" ht="30" customHeight="1">
      <c r="A43" s="10">
        <v>40</v>
      </c>
      <c r="B43" s="11" t="str">
        <f>"544120230812220530124082"</f>
        <v>544120230812220530124082</v>
      </c>
      <c r="C43" s="11" t="str">
        <f t="shared" si="0"/>
        <v>0101</v>
      </c>
      <c r="D43" s="11" t="s">
        <v>9</v>
      </c>
      <c r="E43" s="11" t="str">
        <f>"高顺欣"</f>
        <v>高顺欣</v>
      </c>
      <c r="F43" s="11" t="str">
        <f t="shared" si="1"/>
        <v>女</v>
      </c>
      <c r="G43" s="12"/>
    </row>
    <row r="44" spans="1:7" ht="30" customHeight="1">
      <c r="A44" s="10">
        <v>41</v>
      </c>
      <c r="B44" s="11" t="str">
        <f>"544120230813214213124104"</f>
        <v>544120230813214213124104</v>
      </c>
      <c r="C44" s="11" t="str">
        <f t="shared" si="0"/>
        <v>0101</v>
      </c>
      <c r="D44" s="11" t="s">
        <v>9</v>
      </c>
      <c r="E44" s="11" t="str">
        <f>"林可"</f>
        <v>林可</v>
      </c>
      <c r="F44" s="11" t="str">
        <f t="shared" si="1"/>
        <v>女</v>
      </c>
      <c r="G44" s="12"/>
    </row>
    <row r="45" spans="1:7" ht="30" customHeight="1">
      <c r="A45" s="10">
        <v>42</v>
      </c>
      <c r="B45" s="11" t="str">
        <f>"544120230814085038124112"</f>
        <v>544120230814085038124112</v>
      </c>
      <c r="C45" s="11" t="str">
        <f t="shared" si="0"/>
        <v>0101</v>
      </c>
      <c r="D45" s="11" t="s">
        <v>9</v>
      </c>
      <c r="E45" s="11" t="str">
        <f>"梅春丽"</f>
        <v>梅春丽</v>
      </c>
      <c r="F45" s="11" t="str">
        <f t="shared" si="1"/>
        <v>女</v>
      </c>
      <c r="G45" s="12"/>
    </row>
    <row r="46" spans="1:7" ht="30" customHeight="1">
      <c r="A46" s="10">
        <v>43</v>
      </c>
      <c r="B46" s="11" t="str">
        <f>"544120230814085150124113"</f>
        <v>544120230814085150124113</v>
      </c>
      <c r="C46" s="11" t="str">
        <f t="shared" si="0"/>
        <v>0101</v>
      </c>
      <c r="D46" s="11" t="s">
        <v>9</v>
      </c>
      <c r="E46" s="11" t="str">
        <f>"黄燕"</f>
        <v>黄燕</v>
      </c>
      <c r="F46" s="11" t="str">
        <f t="shared" si="1"/>
        <v>女</v>
      </c>
      <c r="G46" s="12"/>
    </row>
    <row r="47" spans="1:7" ht="30" customHeight="1">
      <c r="A47" s="10">
        <v>44</v>
      </c>
      <c r="B47" s="11" t="str">
        <f>"544120230814111332124128"</f>
        <v>544120230814111332124128</v>
      </c>
      <c r="C47" s="11" t="str">
        <f t="shared" si="0"/>
        <v>0101</v>
      </c>
      <c r="D47" s="11" t="s">
        <v>9</v>
      </c>
      <c r="E47" s="11" t="str">
        <f>"王苏云"</f>
        <v>王苏云</v>
      </c>
      <c r="F47" s="11" t="str">
        <f t="shared" si="1"/>
        <v>女</v>
      </c>
      <c r="G47" s="12"/>
    </row>
    <row r="48" spans="1:7" ht="30" customHeight="1">
      <c r="A48" s="10">
        <v>45</v>
      </c>
      <c r="B48" s="11" t="str">
        <f>"544120230814104925124126"</f>
        <v>544120230814104925124126</v>
      </c>
      <c r="C48" s="11" t="str">
        <f t="shared" si="0"/>
        <v>0101</v>
      </c>
      <c r="D48" s="11" t="s">
        <v>9</v>
      </c>
      <c r="E48" s="11" t="str">
        <f>"王露露"</f>
        <v>王露露</v>
      </c>
      <c r="F48" s="11" t="str">
        <f t="shared" si="1"/>
        <v>女</v>
      </c>
      <c r="G48" s="12"/>
    </row>
    <row r="49" spans="1:7" ht="30" customHeight="1">
      <c r="A49" s="10">
        <v>46</v>
      </c>
      <c r="B49" s="11" t="str">
        <f>"544120230814100528124120"</f>
        <v>544120230814100528124120</v>
      </c>
      <c r="C49" s="11" t="str">
        <f t="shared" si="0"/>
        <v>0101</v>
      </c>
      <c r="D49" s="11" t="s">
        <v>9</v>
      </c>
      <c r="E49" s="11" t="str">
        <f>"李枕威"</f>
        <v>李枕威</v>
      </c>
      <c r="F49" s="11" t="str">
        <f>"男"</f>
        <v>男</v>
      </c>
      <c r="G49" s="12"/>
    </row>
    <row r="50" spans="1:7" ht="30" customHeight="1">
      <c r="A50" s="10">
        <v>47</v>
      </c>
      <c r="B50" s="11" t="str">
        <f>"544120230810105128123876"</f>
        <v>544120230810105128123876</v>
      </c>
      <c r="C50" s="11" t="str">
        <f t="shared" si="0"/>
        <v>0101</v>
      </c>
      <c r="D50" s="11" t="s">
        <v>9</v>
      </c>
      <c r="E50" s="11" t="str">
        <f>"胡冰"</f>
        <v>胡冰</v>
      </c>
      <c r="F50" s="11" t="str">
        <f>"男"</f>
        <v>男</v>
      </c>
      <c r="G50" s="12"/>
    </row>
    <row r="51" spans="1:7" ht="30" customHeight="1">
      <c r="A51" s="10">
        <v>48</v>
      </c>
      <c r="B51" s="11" t="str">
        <f>"544120230814144608124136"</f>
        <v>544120230814144608124136</v>
      </c>
      <c r="C51" s="11" t="str">
        <f t="shared" si="0"/>
        <v>0101</v>
      </c>
      <c r="D51" s="11" t="s">
        <v>9</v>
      </c>
      <c r="E51" s="11" t="str">
        <f>"叶箐瑛"</f>
        <v>叶箐瑛</v>
      </c>
      <c r="F51" s="11" t="str">
        <f>"女"</f>
        <v>女</v>
      </c>
      <c r="G51" s="12"/>
    </row>
    <row r="52" spans="1:7" ht="30" customHeight="1">
      <c r="A52" s="10">
        <v>49</v>
      </c>
      <c r="B52" s="11" t="str">
        <f>"544120230814152622124141"</f>
        <v>544120230814152622124141</v>
      </c>
      <c r="C52" s="11" t="str">
        <f t="shared" si="0"/>
        <v>0101</v>
      </c>
      <c r="D52" s="11" t="s">
        <v>9</v>
      </c>
      <c r="E52" s="11" t="str">
        <f>"王添"</f>
        <v>王添</v>
      </c>
      <c r="F52" s="11" t="str">
        <f>"女"</f>
        <v>女</v>
      </c>
      <c r="G52" s="12"/>
    </row>
    <row r="53" spans="1:7" ht="30" customHeight="1">
      <c r="A53" s="10">
        <v>50</v>
      </c>
      <c r="B53" s="11" t="str">
        <f>"544120230810205734123955"</f>
        <v>544120230810205734123955</v>
      </c>
      <c r="C53" s="11" t="str">
        <f t="shared" si="0"/>
        <v>0101</v>
      </c>
      <c r="D53" s="11" t="s">
        <v>9</v>
      </c>
      <c r="E53" s="11" t="str">
        <f>"董利师"</f>
        <v>董利师</v>
      </c>
      <c r="F53" s="11" t="str">
        <f>"女"</f>
        <v>女</v>
      </c>
      <c r="G53" s="12"/>
    </row>
    <row r="54" spans="1:7" ht="30" customHeight="1">
      <c r="A54" s="10">
        <v>51</v>
      </c>
      <c r="B54" s="11" t="str">
        <f>"544120230814151307124138"</f>
        <v>544120230814151307124138</v>
      </c>
      <c r="C54" s="11" t="str">
        <f t="shared" si="0"/>
        <v>0101</v>
      </c>
      <c r="D54" s="11" t="s">
        <v>9</v>
      </c>
      <c r="E54" s="11" t="str">
        <f>"王育"</f>
        <v>王育</v>
      </c>
      <c r="F54" s="11" t="str">
        <f>"女"</f>
        <v>女</v>
      </c>
      <c r="G54" s="12"/>
    </row>
    <row r="55" spans="1:7" ht="30" customHeight="1">
      <c r="A55" s="10">
        <v>52</v>
      </c>
      <c r="B55" s="11" t="str">
        <f>"544120230811202953124025"</f>
        <v>544120230811202953124025</v>
      </c>
      <c r="C55" s="11" t="str">
        <f t="shared" si="0"/>
        <v>0101</v>
      </c>
      <c r="D55" s="11" t="s">
        <v>9</v>
      </c>
      <c r="E55" s="11" t="str">
        <f>"刘硕文"</f>
        <v>刘硕文</v>
      </c>
      <c r="F55" s="11" t="str">
        <f>"男"</f>
        <v>男</v>
      </c>
      <c r="G55" s="12"/>
    </row>
    <row r="56" spans="1:7" ht="30" customHeight="1">
      <c r="A56" s="10">
        <v>53</v>
      </c>
      <c r="B56" s="11" t="str">
        <f>"544120230814204814124154"</f>
        <v>544120230814204814124154</v>
      </c>
      <c r="C56" s="11" t="str">
        <f t="shared" si="0"/>
        <v>0101</v>
      </c>
      <c r="D56" s="11" t="s">
        <v>9</v>
      </c>
      <c r="E56" s="11" t="str">
        <f>"张静"</f>
        <v>张静</v>
      </c>
      <c r="F56" s="11" t="str">
        <f aca="true" t="shared" si="2" ref="F56:F64">"女"</f>
        <v>女</v>
      </c>
      <c r="G56" s="12"/>
    </row>
    <row r="57" spans="1:7" ht="30" customHeight="1">
      <c r="A57" s="10">
        <v>54</v>
      </c>
      <c r="B57" s="11" t="str">
        <f>"544120230814221844124158"</f>
        <v>544120230814221844124158</v>
      </c>
      <c r="C57" s="11" t="str">
        <f t="shared" si="0"/>
        <v>0101</v>
      </c>
      <c r="D57" s="11" t="s">
        <v>9</v>
      </c>
      <c r="E57" s="11" t="str">
        <f>"王子芯"</f>
        <v>王子芯</v>
      </c>
      <c r="F57" s="11" t="str">
        <f t="shared" si="2"/>
        <v>女</v>
      </c>
      <c r="G57" s="12"/>
    </row>
    <row r="58" spans="1:7" ht="30" customHeight="1">
      <c r="A58" s="10">
        <v>55</v>
      </c>
      <c r="B58" s="11" t="str">
        <f>"544120230815100629124166"</f>
        <v>544120230815100629124166</v>
      </c>
      <c r="C58" s="11" t="str">
        <f t="shared" si="0"/>
        <v>0101</v>
      </c>
      <c r="D58" s="11" t="s">
        <v>9</v>
      </c>
      <c r="E58" s="11" t="str">
        <f>"吴婷"</f>
        <v>吴婷</v>
      </c>
      <c r="F58" s="11" t="str">
        <f t="shared" si="2"/>
        <v>女</v>
      </c>
      <c r="G58" s="12"/>
    </row>
    <row r="59" spans="1:7" ht="30" customHeight="1">
      <c r="A59" s="10">
        <v>56</v>
      </c>
      <c r="B59" s="11" t="str">
        <f>"544120230815105009124170"</f>
        <v>544120230815105009124170</v>
      </c>
      <c r="C59" s="11" t="str">
        <f t="shared" si="0"/>
        <v>0101</v>
      </c>
      <c r="D59" s="11" t="s">
        <v>9</v>
      </c>
      <c r="E59" s="11" t="str">
        <f>"邢增雯"</f>
        <v>邢增雯</v>
      </c>
      <c r="F59" s="11" t="str">
        <f t="shared" si="2"/>
        <v>女</v>
      </c>
      <c r="G59" s="12"/>
    </row>
    <row r="60" spans="1:7" ht="30" customHeight="1">
      <c r="A60" s="10">
        <v>57</v>
      </c>
      <c r="B60" s="11" t="str">
        <f>"544120230815105100124171"</f>
        <v>544120230815105100124171</v>
      </c>
      <c r="C60" s="11" t="str">
        <f t="shared" si="0"/>
        <v>0101</v>
      </c>
      <c r="D60" s="11" t="s">
        <v>9</v>
      </c>
      <c r="E60" s="11" t="str">
        <f>"蒙俞"</f>
        <v>蒙俞</v>
      </c>
      <c r="F60" s="11" t="str">
        <f t="shared" si="2"/>
        <v>女</v>
      </c>
      <c r="G60" s="12"/>
    </row>
    <row r="61" spans="1:7" ht="30" customHeight="1">
      <c r="A61" s="10">
        <v>58</v>
      </c>
      <c r="B61" s="11" t="str">
        <f>"544120230815183218124187"</f>
        <v>544120230815183218124187</v>
      </c>
      <c r="C61" s="11" t="str">
        <f t="shared" si="0"/>
        <v>0101</v>
      </c>
      <c r="D61" s="11" t="s">
        <v>9</v>
      </c>
      <c r="E61" s="11" t="str">
        <f>"梁芯蕾"</f>
        <v>梁芯蕾</v>
      </c>
      <c r="F61" s="11" t="str">
        <f t="shared" si="2"/>
        <v>女</v>
      </c>
      <c r="G61" s="12"/>
    </row>
    <row r="62" spans="1:7" ht="30" customHeight="1">
      <c r="A62" s="10">
        <v>59</v>
      </c>
      <c r="B62" s="11" t="str">
        <f>"544120230814191217124150"</f>
        <v>544120230814191217124150</v>
      </c>
      <c r="C62" s="11" t="str">
        <f t="shared" si="0"/>
        <v>0101</v>
      </c>
      <c r="D62" s="11" t="s">
        <v>9</v>
      </c>
      <c r="E62" s="11" t="str">
        <f>"陈玉成"</f>
        <v>陈玉成</v>
      </c>
      <c r="F62" s="11" t="str">
        <f t="shared" si="2"/>
        <v>女</v>
      </c>
      <c r="G62" s="12"/>
    </row>
    <row r="63" spans="1:7" ht="30" customHeight="1">
      <c r="A63" s="10">
        <v>60</v>
      </c>
      <c r="B63" s="11" t="str">
        <f>"544120230814085459124114"</f>
        <v>544120230814085459124114</v>
      </c>
      <c r="C63" s="11" t="str">
        <f t="shared" si="0"/>
        <v>0101</v>
      </c>
      <c r="D63" s="11" t="s">
        <v>9</v>
      </c>
      <c r="E63" s="11" t="str">
        <f>"郑靖靖"</f>
        <v>郑靖靖</v>
      </c>
      <c r="F63" s="11" t="str">
        <f t="shared" si="2"/>
        <v>女</v>
      </c>
      <c r="G63" s="12"/>
    </row>
    <row r="64" spans="1:7" ht="30" customHeight="1">
      <c r="A64" s="10">
        <v>61</v>
      </c>
      <c r="B64" s="11" t="str">
        <f>"544120230810212430123957"</f>
        <v>544120230810212430123957</v>
      </c>
      <c r="C64" s="11" t="str">
        <f t="shared" si="0"/>
        <v>0101</v>
      </c>
      <c r="D64" s="11" t="s">
        <v>9</v>
      </c>
      <c r="E64" s="11" t="str">
        <f>"孙丽丽"</f>
        <v>孙丽丽</v>
      </c>
      <c r="F64" s="11" t="str">
        <f t="shared" si="2"/>
        <v>女</v>
      </c>
      <c r="G64" s="12"/>
    </row>
    <row r="65" spans="1:7" ht="30" customHeight="1">
      <c r="A65" s="10">
        <v>62</v>
      </c>
      <c r="B65" s="11" t="str">
        <f>"544120230816000437124197"</f>
        <v>544120230816000437124197</v>
      </c>
      <c r="C65" s="11" t="str">
        <f t="shared" si="0"/>
        <v>0101</v>
      </c>
      <c r="D65" s="11" t="s">
        <v>9</v>
      </c>
      <c r="E65" s="11" t="str">
        <f>"罗永冠"</f>
        <v>罗永冠</v>
      </c>
      <c r="F65" s="11" t="str">
        <f>"男"</f>
        <v>男</v>
      </c>
      <c r="G65" s="12"/>
    </row>
    <row r="66" spans="1:7" ht="30" customHeight="1">
      <c r="A66" s="10">
        <v>63</v>
      </c>
      <c r="B66" s="11" t="str">
        <f>"544120230816103248124205"</f>
        <v>544120230816103248124205</v>
      </c>
      <c r="C66" s="11" t="str">
        <f t="shared" si="0"/>
        <v>0101</v>
      </c>
      <c r="D66" s="11" t="s">
        <v>9</v>
      </c>
      <c r="E66" s="11" t="str">
        <f>"王雯"</f>
        <v>王雯</v>
      </c>
      <c r="F66" s="11" t="str">
        <f aca="true" t="shared" si="3" ref="F66:F84">"女"</f>
        <v>女</v>
      </c>
      <c r="G66" s="12"/>
    </row>
    <row r="67" spans="1:7" ht="30" customHeight="1">
      <c r="A67" s="10">
        <v>64</v>
      </c>
      <c r="B67" s="11" t="str">
        <f>"544120230816171156124225"</f>
        <v>544120230816171156124225</v>
      </c>
      <c r="C67" s="11" t="str">
        <f t="shared" si="0"/>
        <v>0101</v>
      </c>
      <c r="D67" s="11" t="s">
        <v>9</v>
      </c>
      <c r="E67" s="11" t="str">
        <f>"陈瑞红"</f>
        <v>陈瑞红</v>
      </c>
      <c r="F67" s="11" t="str">
        <f t="shared" si="3"/>
        <v>女</v>
      </c>
      <c r="G67" s="12"/>
    </row>
    <row r="68" spans="1:7" ht="30" customHeight="1">
      <c r="A68" s="10">
        <v>65</v>
      </c>
      <c r="B68" s="11" t="str">
        <f>"544120230816171329124226"</f>
        <v>544120230816171329124226</v>
      </c>
      <c r="C68" s="11" t="str">
        <f aca="true" t="shared" si="4" ref="C68:C111">"0101"</f>
        <v>0101</v>
      </c>
      <c r="D68" s="11" t="s">
        <v>9</v>
      </c>
      <c r="E68" s="11" t="str">
        <f>"符梦茹"</f>
        <v>符梦茹</v>
      </c>
      <c r="F68" s="11" t="str">
        <f t="shared" si="3"/>
        <v>女</v>
      </c>
      <c r="G68" s="12"/>
    </row>
    <row r="69" spans="1:7" ht="30" customHeight="1">
      <c r="A69" s="10">
        <v>66</v>
      </c>
      <c r="B69" s="11" t="str">
        <f>"544120230816171504124227"</f>
        <v>544120230816171504124227</v>
      </c>
      <c r="C69" s="11" t="str">
        <f t="shared" si="4"/>
        <v>0101</v>
      </c>
      <c r="D69" s="11" t="s">
        <v>9</v>
      </c>
      <c r="E69" s="11" t="str">
        <f>"董国棠"</f>
        <v>董国棠</v>
      </c>
      <c r="F69" s="11" t="str">
        <f t="shared" si="3"/>
        <v>女</v>
      </c>
      <c r="G69" s="12"/>
    </row>
    <row r="70" spans="1:7" ht="30" customHeight="1">
      <c r="A70" s="10">
        <v>67</v>
      </c>
      <c r="B70" s="11" t="str">
        <f>"544120230816184712124230"</f>
        <v>544120230816184712124230</v>
      </c>
      <c r="C70" s="11" t="str">
        <f t="shared" si="4"/>
        <v>0101</v>
      </c>
      <c r="D70" s="11" t="s">
        <v>9</v>
      </c>
      <c r="E70" s="11" t="str">
        <f>"陈霜"</f>
        <v>陈霜</v>
      </c>
      <c r="F70" s="11" t="str">
        <f t="shared" si="3"/>
        <v>女</v>
      </c>
      <c r="G70" s="12"/>
    </row>
    <row r="71" spans="1:7" ht="30" customHeight="1">
      <c r="A71" s="10">
        <v>68</v>
      </c>
      <c r="B71" s="11" t="str">
        <f>"544120230815095347124165"</f>
        <v>544120230815095347124165</v>
      </c>
      <c r="C71" s="11" t="str">
        <f t="shared" si="4"/>
        <v>0101</v>
      </c>
      <c r="D71" s="11" t="s">
        <v>9</v>
      </c>
      <c r="E71" s="11" t="str">
        <f>"盘东婷"</f>
        <v>盘东婷</v>
      </c>
      <c r="F71" s="11" t="str">
        <f t="shared" si="3"/>
        <v>女</v>
      </c>
      <c r="G71" s="12"/>
    </row>
    <row r="72" spans="1:7" ht="30" customHeight="1">
      <c r="A72" s="10">
        <v>69</v>
      </c>
      <c r="B72" s="11" t="str">
        <f>"544120230817150241124253"</f>
        <v>544120230817150241124253</v>
      </c>
      <c r="C72" s="11" t="str">
        <f t="shared" si="4"/>
        <v>0101</v>
      </c>
      <c r="D72" s="11" t="s">
        <v>9</v>
      </c>
      <c r="E72" s="11" t="str">
        <f>"符小慧"</f>
        <v>符小慧</v>
      </c>
      <c r="F72" s="11" t="str">
        <f t="shared" si="3"/>
        <v>女</v>
      </c>
      <c r="G72" s="12"/>
    </row>
    <row r="73" spans="1:7" ht="30" customHeight="1">
      <c r="A73" s="10">
        <v>70</v>
      </c>
      <c r="B73" s="11" t="str">
        <f>"544120230817205056124260"</f>
        <v>544120230817205056124260</v>
      </c>
      <c r="C73" s="11" t="str">
        <f t="shared" si="4"/>
        <v>0101</v>
      </c>
      <c r="D73" s="11" t="s">
        <v>9</v>
      </c>
      <c r="E73" s="11" t="str">
        <f>"陈晓轻"</f>
        <v>陈晓轻</v>
      </c>
      <c r="F73" s="11" t="str">
        <f t="shared" si="3"/>
        <v>女</v>
      </c>
      <c r="G73" s="12"/>
    </row>
    <row r="74" spans="1:7" ht="30" customHeight="1">
      <c r="A74" s="10">
        <v>71</v>
      </c>
      <c r="B74" s="11" t="str">
        <f>"544120230818090321124264"</f>
        <v>544120230818090321124264</v>
      </c>
      <c r="C74" s="11" t="str">
        <f t="shared" si="4"/>
        <v>0101</v>
      </c>
      <c r="D74" s="11" t="s">
        <v>9</v>
      </c>
      <c r="E74" s="11" t="str">
        <f>"王欣颖"</f>
        <v>王欣颖</v>
      </c>
      <c r="F74" s="11" t="str">
        <f t="shared" si="3"/>
        <v>女</v>
      </c>
      <c r="G74" s="12"/>
    </row>
    <row r="75" spans="1:7" ht="30" customHeight="1">
      <c r="A75" s="10">
        <v>72</v>
      </c>
      <c r="B75" s="11" t="str">
        <f>"544120230818151239124273"</f>
        <v>544120230818151239124273</v>
      </c>
      <c r="C75" s="11" t="str">
        <f t="shared" si="4"/>
        <v>0101</v>
      </c>
      <c r="D75" s="11" t="s">
        <v>9</v>
      </c>
      <c r="E75" s="11" t="str">
        <f>"杨萍"</f>
        <v>杨萍</v>
      </c>
      <c r="F75" s="11" t="str">
        <f t="shared" si="3"/>
        <v>女</v>
      </c>
      <c r="G75" s="12"/>
    </row>
    <row r="76" spans="1:7" ht="30" customHeight="1">
      <c r="A76" s="10">
        <v>73</v>
      </c>
      <c r="B76" s="11" t="str">
        <f>"544120230818024801124263"</f>
        <v>544120230818024801124263</v>
      </c>
      <c r="C76" s="11" t="str">
        <f t="shared" si="4"/>
        <v>0101</v>
      </c>
      <c r="D76" s="11" t="s">
        <v>9</v>
      </c>
      <c r="E76" s="11" t="str">
        <f>"龙湘婕"</f>
        <v>龙湘婕</v>
      </c>
      <c r="F76" s="11" t="str">
        <f t="shared" si="3"/>
        <v>女</v>
      </c>
      <c r="G76" s="12"/>
    </row>
    <row r="77" spans="1:7" ht="30" customHeight="1">
      <c r="A77" s="10">
        <v>74</v>
      </c>
      <c r="B77" s="11" t="str">
        <f>"544120230819152643124287"</f>
        <v>544120230819152643124287</v>
      </c>
      <c r="C77" s="11" t="str">
        <f t="shared" si="4"/>
        <v>0101</v>
      </c>
      <c r="D77" s="11" t="s">
        <v>9</v>
      </c>
      <c r="E77" s="11" t="str">
        <f>"刘冰冰"</f>
        <v>刘冰冰</v>
      </c>
      <c r="F77" s="11" t="str">
        <f t="shared" si="3"/>
        <v>女</v>
      </c>
      <c r="G77" s="12"/>
    </row>
    <row r="78" spans="1:7" ht="30" customHeight="1">
      <c r="A78" s="10">
        <v>75</v>
      </c>
      <c r="B78" s="11" t="str">
        <f>"544120230811160346124012"</f>
        <v>544120230811160346124012</v>
      </c>
      <c r="C78" s="11" t="str">
        <f t="shared" si="4"/>
        <v>0101</v>
      </c>
      <c r="D78" s="11" t="s">
        <v>9</v>
      </c>
      <c r="E78" s="11" t="str">
        <f>"符玉凤"</f>
        <v>符玉凤</v>
      </c>
      <c r="F78" s="11" t="str">
        <f t="shared" si="3"/>
        <v>女</v>
      </c>
      <c r="G78" s="12"/>
    </row>
    <row r="79" spans="1:7" ht="30" customHeight="1">
      <c r="A79" s="10">
        <v>76</v>
      </c>
      <c r="B79" s="11" t="str">
        <f>"544120230819190444124289"</f>
        <v>544120230819190444124289</v>
      </c>
      <c r="C79" s="11" t="str">
        <f t="shared" si="4"/>
        <v>0101</v>
      </c>
      <c r="D79" s="11" t="s">
        <v>9</v>
      </c>
      <c r="E79" s="11" t="str">
        <f>"吴碧香"</f>
        <v>吴碧香</v>
      </c>
      <c r="F79" s="11" t="str">
        <f t="shared" si="3"/>
        <v>女</v>
      </c>
      <c r="G79" s="12"/>
    </row>
    <row r="80" spans="1:7" ht="30" customHeight="1">
      <c r="A80" s="10">
        <v>77</v>
      </c>
      <c r="B80" s="11" t="str">
        <f>"544120230820111633124296"</f>
        <v>544120230820111633124296</v>
      </c>
      <c r="C80" s="11" t="str">
        <f t="shared" si="4"/>
        <v>0101</v>
      </c>
      <c r="D80" s="11" t="s">
        <v>9</v>
      </c>
      <c r="E80" s="11" t="str">
        <f>"王莹"</f>
        <v>王莹</v>
      </c>
      <c r="F80" s="11" t="str">
        <f t="shared" si="3"/>
        <v>女</v>
      </c>
      <c r="G80" s="13" t="str">
        <f>"身份证后四位数为6883"</f>
        <v>身份证后四位数为6883</v>
      </c>
    </row>
    <row r="81" spans="1:7" ht="30" customHeight="1">
      <c r="A81" s="10">
        <v>78</v>
      </c>
      <c r="B81" s="11" t="str">
        <f>"544120230820135604124298"</f>
        <v>544120230820135604124298</v>
      </c>
      <c r="C81" s="11" t="str">
        <f t="shared" si="4"/>
        <v>0101</v>
      </c>
      <c r="D81" s="11" t="s">
        <v>9</v>
      </c>
      <c r="E81" s="11" t="str">
        <f>"黄书静"</f>
        <v>黄书静</v>
      </c>
      <c r="F81" s="11" t="str">
        <f t="shared" si="3"/>
        <v>女</v>
      </c>
      <c r="G81" s="12"/>
    </row>
    <row r="82" spans="1:7" ht="30" customHeight="1">
      <c r="A82" s="10">
        <v>79</v>
      </c>
      <c r="B82" s="11" t="str">
        <f>"544120230820144647124299"</f>
        <v>544120230820144647124299</v>
      </c>
      <c r="C82" s="11" t="str">
        <f t="shared" si="4"/>
        <v>0101</v>
      </c>
      <c r="D82" s="11" t="s">
        <v>9</v>
      </c>
      <c r="E82" s="11" t="str">
        <f>"林培培"</f>
        <v>林培培</v>
      </c>
      <c r="F82" s="11" t="str">
        <f t="shared" si="3"/>
        <v>女</v>
      </c>
      <c r="G82" s="12"/>
    </row>
    <row r="83" spans="1:7" ht="30" customHeight="1">
      <c r="A83" s="10">
        <v>80</v>
      </c>
      <c r="B83" s="11" t="str">
        <f>"544120230821105646124318"</f>
        <v>544120230821105646124318</v>
      </c>
      <c r="C83" s="11" t="str">
        <f t="shared" si="4"/>
        <v>0101</v>
      </c>
      <c r="D83" s="11" t="s">
        <v>9</v>
      </c>
      <c r="E83" s="11" t="str">
        <f>"陈晽娜"</f>
        <v>陈晽娜</v>
      </c>
      <c r="F83" s="11" t="str">
        <f t="shared" si="3"/>
        <v>女</v>
      </c>
      <c r="G83" s="12"/>
    </row>
    <row r="84" spans="1:7" ht="30" customHeight="1">
      <c r="A84" s="10">
        <v>81</v>
      </c>
      <c r="B84" s="11" t="str">
        <f>"544120230821134147124326"</f>
        <v>544120230821134147124326</v>
      </c>
      <c r="C84" s="11" t="str">
        <f t="shared" si="4"/>
        <v>0101</v>
      </c>
      <c r="D84" s="11" t="s">
        <v>9</v>
      </c>
      <c r="E84" s="11" t="str">
        <f>"符静芊"</f>
        <v>符静芊</v>
      </c>
      <c r="F84" s="11" t="str">
        <f t="shared" si="3"/>
        <v>女</v>
      </c>
      <c r="G84" s="12"/>
    </row>
    <row r="85" spans="1:7" ht="30" customHeight="1">
      <c r="A85" s="10">
        <v>82</v>
      </c>
      <c r="B85" s="11" t="str">
        <f>"544120230821152203124336"</f>
        <v>544120230821152203124336</v>
      </c>
      <c r="C85" s="11" t="str">
        <f t="shared" si="4"/>
        <v>0101</v>
      </c>
      <c r="D85" s="11" t="s">
        <v>9</v>
      </c>
      <c r="E85" s="11" t="str">
        <f>"程范辉"</f>
        <v>程范辉</v>
      </c>
      <c r="F85" s="11" t="str">
        <f>"男"</f>
        <v>男</v>
      </c>
      <c r="G85" s="12"/>
    </row>
    <row r="86" spans="1:7" ht="30" customHeight="1">
      <c r="A86" s="10">
        <v>83</v>
      </c>
      <c r="B86" s="11" t="str">
        <f>"544120230821162732124340"</f>
        <v>544120230821162732124340</v>
      </c>
      <c r="C86" s="11" t="str">
        <f t="shared" si="4"/>
        <v>0101</v>
      </c>
      <c r="D86" s="11" t="s">
        <v>9</v>
      </c>
      <c r="E86" s="11" t="str">
        <f>"黄成"</f>
        <v>黄成</v>
      </c>
      <c r="F86" s="11" t="str">
        <f>"男"</f>
        <v>男</v>
      </c>
      <c r="G86" s="12"/>
    </row>
    <row r="87" spans="1:7" ht="30" customHeight="1">
      <c r="A87" s="10">
        <v>84</v>
      </c>
      <c r="B87" s="11" t="str">
        <f>"544120230821190209124346"</f>
        <v>544120230821190209124346</v>
      </c>
      <c r="C87" s="11" t="str">
        <f t="shared" si="4"/>
        <v>0101</v>
      </c>
      <c r="D87" s="11" t="s">
        <v>9</v>
      </c>
      <c r="E87" s="11" t="str">
        <f>"麦雪艳"</f>
        <v>麦雪艳</v>
      </c>
      <c r="F87" s="11" t="str">
        <f>"女"</f>
        <v>女</v>
      </c>
      <c r="G87" s="12"/>
    </row>
    <row r="88" spans="1:7" ht="30" customHeight="1">
      <c r="A88" s="10">
        <v>85</v>
      </c>
      <c r="B88" s="11" t="str">
        <f>"544120230821174905124343"</f>
        <v>544120230821174905124343</v>
      </c>
      <c r="C88" s="11" t="str">
        <f t="shared" si="4"/>
        <v>0101</v>
      </c>
      <c r="D88" s="11" t="s">
        <v>9</v>
      </c>
      <c r="E88" s="11" t="str">
        <f>"林斯琪"</f>
        <v>林斯琪</v>
      </c>
      <c r="F88" s="11" t="str">
        <f>"女"</f>
        <v>女</v>
      </c>
      <c r="G88" s="12"/>
    </row>
    <row r="89" spans="1:7" ht="30" customHeight="1">
      <c r="A89" s="10">
        <v>86</v>
      </c>
      <c r="B89" s="11" t="str">
        <f>"544120230821191919124347"</f>
        <v>544120230821191919124347</v>
      </c>
      <c r="C89" s="11" t="str">
        <f t="shared" si="4"/>
        <v>0101</v>
      </c>
      <c r="D89" s="11" t="s">
        <v>9</v>
      </c>
      <c r="E89" s="11" t="str">
        <f>"姚传林"</f>
        <v>姚传林</v>
      </c>
      <c r="F89" s="11" t="str">
        <f>"男"</f>
        <v>男</v>
      </c>
      <c r="G89" s="12"/>
    </row>
    <row r="90" spans="1:7" ht="30" customHeight="1">
      <c r="A90" s="10">
        <v>87</v>
      </c>
      <c r="B90" s="11" t="str">
        <f>"544120230821203329124351"</f>
        <v>544120230821203329124351</v>
      </c>
      <c r="C90" s="11" t="str">
        <f t="shared" si="4"/>
        <v>0101</v>
      </c>
      <c r="D90" s="11" t="s">
        <v>9</v>
      </c>
      <c r="E90" s="11" t="str">
        <f>"谢宜含"</f>
        <v>谢宜含</v>
      </c>
      <c r="F90" s="11" t="str">
        <f>"女"</f>
        <v>女</v>
      </c>
      <c r="G90" s="12"/>
    </row>
    <row r="91" spans="1:7" ht="30" customHeight="1">
      <c r="A91" s="10">
        <v>88</v>
      </c>
      <c r="B91" s="11" t="str">
        <f>"544120230821192813124349"</f>
        <v>544120230821192813124349</v>
      </c>
      <c r="C91" s="11" t="str">
        <f t="shared" si="4"/>
        <v>0101</v>
      </c>
      <c r="D91" s="11" t="s">
        <v>9</v>
      </c>
      <c r="E91" s="11" t="str">
        <f>"符仙慧"</f>
        <v>符仙慧</v>
      </c>
      <c r="F91" s="11" t="str">
        <f>"女"</f>
        <v>女</v>
      </c>
      <c r="G91" s="12"/>
    </row>
    <row r="92" spans="1:7" ht="30" customHeight="1">
      <c r="A92" s="10">
        <v>89</v>
      </c>
      <c r="B92" s="11" t="str">
        <f>"544120230821210015124352"</f>
        <v>544120230821210015124352</v>
      </c>
      <c r="C92" s="11" t="str">
        <f t="shared" si="4"/>
        <v>0101</v>
      </c>
      <c r="D92" s="11" t="s">
        <v>9</v>
      </c>
      <c r="E92" s="11" t="str">
        <f>"王小妹"</f>
        <v>王小妹</v>
      </c>
      <c r="F92" s="11" t="str">
        <f>"女"</f>
        <v>女</v>
      </c>
      <c r="G92" s="12"/>
    </row>
    <row r="93" spans="1:7" ht="30" customHeight="1">
      <c r="A93" s="10">
        <v>90</v>
      </c>
      <c r="B93" s="11" t="str">
        <f>"544120230815111258124173"</f>
        <v>544120230815111258124173</v>
      </c>
      <c r="C93" s="11" t="str">
        <f t="shared" si="4"/>
        <v>0101</v>
      </c>
      <c r="D93" s="11" t="s">
        <v>9</v>
      </c>
      <c r="E93" s="11" t="str">
        <f>"何奋"</f>
        <v>何奋</v>
      </c>
      <c r="F93" s="11" t="str">
        <f>"男"</f>
        <v>男</v>
      </c>
      <c r="G93" s="12"/>
    </row>
    <row r="94" spans="1:7" ht="30" customHeight="1">
      <c r="A94" s="10">
        <v>91</v>
      </c>
      <c r="B94" s="11" t="str">
        <f>"544120230813212411124103"</f>
        <v>544120230813212411124103</v>
      </c>
      <c r="C94" s="11" t="str">
        <f t="shared" si="4"/>
        <v>0101</v>
      </c>
      <c r="D94" s="11" t="s">
        <v>9</v>
      </c>
      <c r="E94" s="11" t="str">
        <f>"蓝晓静"</f>
        <v>蓝晓静</v>
      </c>
      <c r="F94" s="11" t="str">
        <f>"女"</f>
        <v>女</v>
      </c>
      <c r="G94" s="12"/>
    </row>
    <row r="95" spans="1:7" ht="30" customHeight="1">
      <c r="A95" s="10">
        <v>92</v>
      </c>
      <c r="B95" s="11" t="str">
        <f>"544120230822030044124361"</f>
        <v>544120230822030044124361</v>
      </c>
      <c r="C95" s="11" t="str">
        <f t="shared" si="4"/>
        <v>0101</v>
      </c>
      <c r="D95" s="11" t="s">
        <v>9</v>
      </c>
      <c r="E95" s="11" t="str">
        <f>"朱妙甜"</f>
        <v>朱妙甜</v>
      </c>
      <c r="F95" s="11" t="str">
        <f>"女"</f>
        <v>女</v>
      </c>
      <c r="G95" s="12"/>
    </row>
    <row r="96" spans="1:7" ht="30" customHeight="1">
      <c r="A96" s="10">
        <v>93</v>
      </c>
      <c r="B96" s="11" t="str">
        <f>"544120230822094006124369"</f>
        <v>544120230822094006124369</v>
      </c>
      <c r="C96" s="11" t="str">
        <f t="shared" si="4"/>
        <v>0101</v>
      </c>
      <c r="D96" s="11" t="s">
        <v>9</v>
      </c>
      <c r="E96" s="11" t="str">
        <f>"符克真"</f>
        <v>符克真</v>
      </c>
      <c r="F96" s="11" t="str">
        <f>"女"</f>
        <v>女</v>
      </c>
      <c r="G96" s="12"/>
    </row>
    <row r="97" spans="1:7" ht="30" customHeight="1">
      <c r="A97" s="10">
        <v>94</v>
      </c>
      <c r="B97" s="11" t="str">
        <f>"544120230822084625124363"</f>
        <v>544120230822084625124363</v>
      </c>
      <c r="C97" s="11" t="str">
        <f t="shared" si="4"/>
        <v>0101</v>
      </c>
      <c r="D97" s="11" t="s">
        <v>9</v>
      </c>
      <c r="E97" s="11" t="str">
        <f>"符少英"</f>
        <v>符少英</v>
      </c>
      <c r="F97" s="11" t="str">
        <f>"女"</f>
        <v>女</v>
      </c>
      <c r="G97" s="12"/>
    </row>
    <row r="98" spans="1:7" ht="30" customHeight="1">
      <c r="A98" s="10">
        <v>95</v>
      </c>
      <c r="B98" s="11" t="str">
        <f>"544120230822110554124374"</f>
        <v>544120230822110554124374</v>
      </c>
      <c r="C98" s="11" t="str">
        <f t="shared" si="4"/>
        <v>0101</v>
      </c>
      <c r="D98" s="11" t="s">
        <v>9</v>
      </c>
      <c r="E98" s="11" t="str">
        <f>"董盈"</f>
        <v>董盈</v>
      </c>
      <c r="F98" s="11" t="str">
        <f>"男"</f>
        <v>男</v>
      </c>
      <c r="G98" s="12"/>
    </row>
    <row r="99" spans="1:7" ht="30" customHeight="1">
      <c r="A99" s="10">
        <v>96</v>
      </c>
      <c r="B99" s="11" t="str">
        <f>"544120230819155932124288"</f>
        <v>544120230819155932124288</v>
      </c>
      <c r="C99" s="11" t="str">
        <f t="shared" si="4"/>
        <v>0101</v>
      </c>
      <c r="D99" s="11" t="s">
        <v>9</v>
      </c>
      <c r="E99" s="11" t="str">
        <f>"廖红星"</f>
        <v>廖红星</v>
      </c>
      <c r="F99" s="11" t="str">
        <f>"男"</f>
        <v>男</v>
      </c>
      <c r="G99" s="12"/>
    </row>
    <row r="100" spans="1:7" ht="30" customHeight="1">
      <c r="A100" s="10">
        <v>97</v>
      </c>
      <c r="B100" s="11" t="str">
        <f>"544120230820215020124303"</f>
        <v>544120230820215020124303</v>
      </c>
      <c r="C100" s="11" t="str">
        <f t="shared" si="4"/>
        <v>0101</v>
      </c>
      <c r="D100" s="11" t="s">
        <v>9</v>
      </c>
      <c r="E100" s="11" t="str">
        <f>"林志韬"</f>
        <v>林志韬</v>
      </c>
      <c r="F100" s="11" t="str">
        <f>"男"</f>
        <v>男</v>
      </c>
      <c r="G100" s="12"/>
    </row>
    <row r="101" spans="1:7" ht="30" customHeight="1">
      <c r="A101" s="10">
        <v>98</v>
      </c>
      <c r="B101" s="11" t="str">
        <f>"544120230822175040124389"</f>
        <v>544120230822175040124389</v>
      </c>
      <c r="C101" s="11" t="str">
        <f t="shared" si="4"/>
        <v>0101</v>
      </c>
      <c r="D101" s="11" t="s">
        <v>9</v>
      </c>
      <c r="E101" s="11" t="str">
        <f>"符兰艳"</f>
        <v>符兰艳</v>
      </c>
      <c r="F101" s="11" t="str">
        <f>"女"</f>
        <v>女</v>
      </c>
      <c r="G101" s="12"/>
    </row>
    <row r="102" spans="1:7" ht="30" customHeight="1">
      <c r="A102" s="10">
        <v>99</v>
      </c>
      <c r="B102" s="11" t="str">
        <f>"544120230812213534124079"</f>
        <v>544120230812213534124079</v>
      </c>
      <c r="C102" s="11" t="str">
        <f t="shared" si="4"/>
        <v>0101</v>
      </c>
      <c r="D102" s="11" t="s">
        <v>9</v>
      </c>
      <c r="E102" s="11" t="str">
        <f>"黄孝琰"</f>
        <v>黄孝琰</v>
      </c>
      <c r="F102" s="11" t="str">
        <f>"男"</f>
        <v>男</v>
      </c>
      <c r="G102" s="12"/>
    </row>
    <row r="103" spans="1:7" ht="30" customHeight="1">
      <c r="A103" s="10">
        <v>100</v>
      </c>
      <c r="B103" s="11" t="str">
        <f>"544120230813225214124106"</f>
        <v>544120230813225214124106</v>
      </c>
      <c r="C103" s="11" t="str">
        <f t="shared" si="4"/>
        <v>0101</v>
      </c>
      <c r="D103" s="11" t="s">
        <v>9</v>
      </c>
      <c r="E103" s="11" t="str">
        <f>"周亚婷"</f>
        <v>周亚婷</v>
      </c>
      <c r="F103" s="11" t="str">
        <f>"女"</f>
        <v>女</v>
      </c>
      <c r="G103" s="12"/>
    </row>
    <row r="104" spans="1:7" ht="30" customHeight="1">
      <c r="A104" s="10">
        <v>101</v>
      </c>
      <c r="B104" s="11" t="str">
        <f>"544120230822205340124399"</f>
        <v>544120230822205340124399</v>
      </c>
      <c r="C104" s="11" t="str">
        <f t="shared" si="4"/>
        <v>0101</v>
      </c>
      <c r="D104" s="11" t="s">
        <v>9</v>
      </c>
      <c r="E104" s="11" t="str">
        <f>"高立宇"</f>
        <v>高立宇</v>
      </c>
      <c r="F104" s="11" t="str">
        <f>"男"</f>
        <v>男</v>
      </c>
      <c r="G104" s="12"/>
    </row>
    <row r="105" spans="1:7" ht="30" customHeight="1">
      <c r="A105" s="10">
        <v>102</v>
      </c>
      <c r="B105" s="11" t="str">
        <f>"544120230822233232124405"</f>
        <v>544120230822233232124405</v>
      </c>
      <c r="C105" s="11" t="str">
        <f t="shared" si="4"/>
        <v>0101</v>
      </c>
      <c r="D105" s="11" t="s">
        <v>9</v>
      </c>
      <c r="E105" s="11" t="str">
        <f>"周始猛"</f>
        <v>周始猛</v>
      </c>
      <c r="F105" s="11" t="str">
        <f>"男"</f>
        <v>男</v>
      </c>
      <c r="G105" s="12"/>
    </row>
    <row r="106" spans="1:7" ht="30" customHeight="1">
      <c r="A106" s="10">
        <v>103</v>
      </c>
      <c r="B106" s="11" t="str">
        <f>"544120230821235928124359"</f>
        <v>544120230821235928124359</v>
      </c>
      <c r="C106" s="11" t="str">
        <f t="shared" si="4"/>
        <v>0101</v>
      </c>
      <c r="D106" s="11" t="s">
        <v>9</v>
      </c>
      <c r="E106" s="11" t="str">
        <f>"王云"</f>
        <v>王云</v>
      </c>
      <c r="F106" s="11" t="str">
        <f aca="true" t="shared" si="5" ref="F106:F110">"女"</f>
        <v>女</v>
      </c>
      <c r="G106" s="12"/>
    </row>
    <row r="107" spans="1:7" ht="30" customHeight="1">
      <c r="A107" s="10">
        <v>104</v>
      </c>
      <c r="B107" s="11" t="str">
        <f>"544120230821085824124310"</f>
        <v>544120230821085824124310</v>
      </c>
      <c r="C107" s="11" t="str">
        <f t="shared" si="4"/>
        <v>0101</v>
      </c>
      <c r="D107" s="11" t="s">
        <v>9</v>
      </c>
      <c r="E107" s="11" t="str">
        <f>"黄祖盈"</f>
        <v>黄祖盈</v>
      </c>
      <c r="F107" s="11" t="str">
        <f t="shared" si="5"/>
        <v>女</v>
      </c>
      <c r="G107" s="12"/>
    </row>
    <row r="108" spans="1:7" ht="30" customHeight="1">
      <c r="A108" s="10">
        <v>105</v>
      </c>
      <c r="B108" s="11" t="str">
        <f>"544120230822215515124402"</f>
        <v>544120230822215515124402</v>
      </c>
      <c r="C108" s="11" t="str">
        <f t="shared" si="4"/>
        <v>0101</v>
      </c>
      <c r="D108" s="11" t="s">
        <v>9</v>
      </c>
      <c r="E108" s="11" t="str">
        <f>"章际耀"</f>
        <v>章际耀</v>
      </c>
      <c r="F108" s="11" t="str">
        <f>"男"</f>
        <v>男</v>
      </c>
      <c r="G108" s="12"/>
    </row>
    <row r="109" spans="1:7" ht="30" customHeight="1">
      <c r="A109" s="10">
        <v>106</v>
      </c>
      <c r="B109" s="11" t="str">
        <f>"544120230823091952124420"</f>
        <v>544120230823091952124420</v>
      </c>
      <c r="C109" s="11" t="str">
        <f t="shared" si="4"/>
        <v>0101</v>
      </c>
      <c r="D109" s="11" t="s">
        <v>9</v>
      </c>
      <c r="E109" s="11" t="str">
        <f>"陈淑姗"</f>
        <v>陈淑姗</v>
      </c>
      <c r="F109" s="11" t="str">
        <f t="shared" si="5"/>
        <v>女</v>
      </c>
      <c r="G109" s="12"/>
    </row>
    <row r="110" spans="1:7" ht="30" customHeight="1">
      <c r="A110" s="10">
        <v>107</v>
      </c>
      <c r="B110" s="11" t="str">
        <f>"544120230810163318123929"</f>
        <v>544120230810163318123929</v>
      </c>
      <c r="C110" s="11" t="str">
        <f t="shared" si="4"/>
        <v>0101</v>
      </c>
      <c r="D110" s="11" t="s">
        <v>9</v>
      </c>
      <c r="E110" s="11" t="str">
        <f>"符永冰"</f>
        <v>符永冰</v>
      </c>
      <c r="F110" s="11" t="str">
        <f t="shared" si="5"/>
        <v>女</v>
      </c>
      <c r="G110" s="12"/>
    </row>
    <row r="111" spans="1:7" ht="30" customHeight="1">
      <c r="A111" s="10">
        <v>108</v>
      </c>
      <c r="B111" s="11" t="str">
        <f>"544120230823094809124424"</f>
        <v>544120230823094809124424</v>
      </c>
      <c r="C111" s="11" t="str">
        <f t="shared" si="4"/>
        <v>0101</v>
      </c>
      <c r="D111" s="11" t="s">
        <v>9</v>
      </c>
      <c r="E111" s="11" t="str">
        <f>"张洪芬"</f>
        <v>张洪芬</v>
      </c>
      <c r="F111" s="11" t="str">
        <f>"男"</f>
        <v>男</v>
      </c>
      <c r="G111" s="12"/>
    </row>
    <row r="112" spans="1:7" ht="30" customHeight="1">
      <c r="A112" s="10">
        <v>109</v>
      </c>
      <c r="B112" s="11" t="str">
        <f>"544120230810090631123844"</f>
        <v>544120230810090631123844</v>
      </c>
      <c r="C112" s="11" t="str">
        <f aca="true" t="shared" si="6" ref="C112:C119">"0102"</f>
        <v>0102</v>
      </c>
      <c r="D112" s="11" t="s">
        <v>10</v>
      </c>
      <c r="E112" s="11" t="str">
        <f>"谭月籼"</f>
        <v>谭月籼</v>
      </c>
      <c r="F112" s="11" t="str">
        <f>"女"</f>
        <v>女</v>
      </c>
      <c r="G112" s="12"/>
    </row>
    <row r="113" spans="1:7" ht="30" customHeight="1">
      <c r="A113" s="10">
        <v>110</v>
      </c>
      <c r="B113" s="11" t="str">
        <f>"544120230810091542123850"</f>
        <v>544120230810091542123850</v>
      </c>
      <c r="C113" s="11" t="str">
        <f t="shared" si="6"/>
        <v>0102</v>
      </c>
      <c r="D113" s="11" t="s">
        <v>10</v>
      </c>
      <c r="E113" s="11" t="str">
        <f>"符杰贤"</f>
        <v>符杰贤</v>
      </c>
      <c r="F113" s="11" t="str">
        <f>"男"</f>
        <v>男</v>
      </c>
      <c r="G113" s="12"/>
    </row>
    <row r="114" spans="1:7" ht="30" customHeight="1">
      <c r="A114" s="10">
        <v>111</v>
      </c>
      <c r="B114" s="11" t="str">
        <f>"544120230810095014123860"</f>
        <v>544120230810095014123860</v>
      </c>
      <c r="C114" s="11" t="str">
        <f t="shared" si="6"/>
        <v>0102</v>
      </c>
      <c r="D114" s="11" t="s">
        <v>10</v>
      </c>
      <c r="E114" s="11" t="str">
        <f>"王雪青"</f>
        <v>王雪青</v>
      </c>
      <c r="F114" s="11" t="str">
        <f aca="true" t="shared" si="7" ref="F114:F121">"女"</f>
        <v>女</v>
      </c>
      <c r="G114" s="12"/>
    </row>
    <row r="115" spans="1:7" ht="30" customHeight="1">
      <c r="A115" s="10">
        <v>112</v>
      </c>
      <c r="B115" s="11" t="str">
        <f>"544120230810100949123870"</f>
        <v>544120230810100949123870</v>
      </c>
      <c r="C115" s="11" t="str">
        <f t="shared" si="6"/>
        <v>0102</v>
      </c>
      <c r="D115" s="11" t="s">
        <v>10</v>
      </c>
      <c r="E115" s="11" t="str">
        <f>"黄晓蕾"</f>
        <v>黄晓蕾</v>
      </c>
      <c r="F115" s="11" t="str">
        <f t="shared" si="7"/>
        <v>女</v>
      </c>
      <c r="G115" s="12"/>
    </row>
    <row r="116" spans="1:7" ht="30" customHeight="1">
      <c r="A116" s="10">
        <v>113</v>
      </c>
      <c r="B116" s="11" t="str">
        <f>"544120230810120641123891"</f>
        <v>544120230810120641123891</v>
      </c>
      <c r="C116" s="11" t="str">
        <f t="shared" si="6"/>
        <v>0102</v>
      </c>
      <c r="D116" s="11" t="s">
        <v>10</v>
      </c>
      <c r="E116" s="11" t="str">
        <f>"卢丹"</f>
        <v>卢丹</v>
      </c>
      <c r="F116" s="11" t="str">
        <f t="shared" si="7"/>
        <v>女</v>
      </c>
      <c r="G116" s="12"/>
    </row>
    <row r="117" spans="1:7" ht="30" customHeight="1">
      <c r="A117" s="10">
        <v>114</v>
      </c>
      <c r="B117" s="11" t="str">
        <f>"544120230810150339123910"</f>
        <v>544120230810150339123910</v>
      </c>
      <c r="C117" s="11" t="str">
        <f t="shared" si="6"/>
        <v>0102</v>
      </c>
      <c r="D117" s="11" t="s">
        <v>10</v>
      </c>
      <c r="E117" s="11" t="str">
        <f>"高鞭鞭"</f>
        <v>高鞭鞭</v>
      </c>
      <c r="F117" s="11" t="str">
        <f t="shared" si="7"/>
        <v>女</v>
      </c>
      <c r="G117" s="12"/>
    </row>
    <row r="118" spans="1:7" ht="30" customHeight="1">
      <c r="A118" s="10">
        <v>115</v>
      </c>
      <c r="B118" s="11" t="str">
        <f>"544120230810145817123908"</f>
        <v>544120230810145817123908</v>
      </c>
      <c r="C118" s="11" t="str">
        <f t="shared" si="6"/>
        <v>0102</v>
      </c>
      <c r="D118" s="11" t="s">
        <v>10</v>
      </c>
      <c r="E118" s="11" t="str">
        <f>"符琪"</f>
        <v>符琪</v>
      </c>
      <c r="F118" s="11" t="str">
        <f t="shared" si="7"/>
        <v>女</v>
      </c>
      <c r="G118" s="12"/>
    </row>
    <row r="119" spans="1:7" ht="30" customHeight="1">
      <c r="A119" s="10">
        <v>116</v>
      </c>
      <c r="B119" s="11" t="str">
        <f>"544120230810152543123911"</f>
        <v>544120230810152543123911</v>
      </c>
      <c r="C119" s="11" t="str">
        <f t="shared" si="6"/>
        <v>0102</v>
      </c>
      <c r="D119" s="11" t="s">
        <v>10</v>
      </c>
      <c r="E119" s="11" t="str">
        <f>"高双梅"</f>
        <v>高双梅</v>
      </c>
      <c r="F119" s="11" t="str">
        <f t="shared" si="7"/>
        <v>女</v>
      </c>
      <c r="G119" s="12"/>
    </row>
    <row r="120" spans="1:7" ht="30" customHeight="1">
      <c r="A120" s="10">
        <v>117</v>
      </c>
      <c r="B120" s="11" t="str">
        <f>"544120230810171411123938"</f>
        <v>544120230810171411123938</v>
      </c>
      <c r="C120" s="11" t="str">
        <f aca="true" t="shared" si="8" ref="C120:C174">"0102"</f>
        <v>0102</v>
      </c>
      <c r="D120" s="11" t="s">
        <v>10</v>
      </c>
      <c r="E120" s="11" t="str">
        <f>"邢维丹"</f>
        <v>邢维丹</v>
      </c>
      <c r="F120" s="11" t="str">
        <f t="shared" si="7"/>
        <v>女</v>
      </c>
      <c r="G120" s="12"/>
    </row>
    <row r="121" spans="1:7" ht="30" customHeight="1">
      <c r="A121" s="10">
        <v>118</v>
      </c>
      <c r="B121" s="11" t="str">
        <f>"544120230810170226123937"</f>
        <v>544120230810170226123937</v>
      </c>
      <c r="C121" s="11" t="str">
        <f t="shared" si="8"/>
        <v>0102</v>
      </c>
      <c r="D121" s="11" t="s">
        <v>10</v>
      </c>
      <c r="E121" s="11" t="str">
        <f>"韦力"</f>
        <v>韦力</v>
      </c>
      <c r="F121" s="11" t="str">
        <f>"男"</f>
        <v>男</v>
      </c>
      <c r="G121" s="12"/>
    </row>
    <row r="122" spans="1:7" ht="30" customHeight="1">
      <c r="A122" s="10">
        <v>119</v>
      </c>
      <c r="B122" s="11" t="str">
        <f>"544120230810125837123898"</f>
        <v>544120230810125837123898</v>
      </c>
      <c r="C122" s="11" t="str">
        <f t="shared" si="8"/>
        <v>0102</v>
      </c>
      <c r="D122" s="11" t="s">
        <v>10</v>
      </c>
      <c r="E122" s="11" t="str">
        <f>"蓝畅"</f>
        <v>蓝畅</v>
      </c>
      <c r="F122" s="11" t="str">
        <f aca="true" t="shared" si="9" ref="F122:F128">"女"</f>
        <v>女</v>
      </c>
      <c r="G122" s="12"/>
    </row>
    <row r="123" spans="1:7" ht="30" customHeight="1">
      <c r="A123" s="10">
        <v>120</v>
      </c>
      <c r="B123" s="11" t="str">
        <f>"544120230811094528123979"</f>
        <v>544120230811094528123979</v>
      </c>
      <c r="C123" s="11" t="str">
        <f t="shared" si="8"/>
        <v>0102</v>
      </c>
      <c r="D123" s="11" t="s">
        <v>10</v>
      </c>
      <c r="E123" s="11" t="str">
        <f>"罗希特"</f>
        <v>罗希特</v>
      </c>
      <c r="F123" s="11" t="str">
        <f t="shared" si="9"/>
        <v>女</v>
      </c>
      <c r="G123" s="12"/>
    </row>
    <row r="124" spans="1:7" ht="30" customHeight="1">
      <c r="A124" s="10">
        <v>121</v>
      </c>
      <c r="B124" s="11" t="str">
        <f>"544120230811094823123980"</f>
        <v>544120230811094823123980</v>
      </c>
      <c r="C124" s="11" t="str">
        <f t="shared" si="8"/>
        <v>0102</v>
      </c>
      <c r="D124" s="11" t="s">
        <v>10</v>
      </c>
      <c r="E124" s="11" t="str">
        <f>"陈悦"</f>
        <v>陈悦</v>
      </c>
      <c r="F124" s="11" t="str">
        <f t="shared" si="9"/>
        <v>女</v>
      </c>
      <c r="G124" s="12"/>
    </row>
    <row r="125" spans="1:7" ht="30" customHeight="1">
      <c r="A125" s="10">
        <v>122</v>
      </c>
      <c r="B125" s="11" t="str">
        <f>"544120230811101338123987"</f>
        <v>544120230811101338123987</v>
      </c>
      <c r="C125" s="11" t="str">
        <f t="shared" si="8"/>
        <v>0102</v>
      </c>
      <c r="D125" s="11" t="s">
        <v>10</v>
      </c>
      <c r="E125" s="11" t="str">
        <f>"谭向冰"</f>
        <v>谭向冰</v>
      </c>
      <c r="F125" s="11" t="str">
        <f t="shared" si="9"/>
        <v>女</v>
      </c>
      <c r="G125" s="12"/>
    </row>
    <row r="126" spans="1:7" ht="30" customHeight="1">
      <c r="A126" s="10">
        <v>123</v>
      </c>
      <c r="B126" s="11" t="str">
        <f>"544120230810163742123930"</f>
        <v>544120230810163742123930</v>
      </c>
      <c r="C126" s="11" t="str">
        <f t="shared" si="8"/>
        <v>0102</v>
      </c>
      <c r="D126" s="11" t="s">
        <v>10</v>
      </c>
      <c r="E126" s="11" t="str">
        <f>"朱瑞收"</f>
        <v>朱瑞收</v>
      </c>
      <c r="F126" s="11" t="str">
        <f t="shared" si="9"/>
        <v>女</v>
      </c>
      <c r="G126" s="12"/>
    </row>
    <row r="127" spans="1:7" ht="30" customHeight="1">
      <c r="A127" s="10">
        <v>124</v>
      </c>
      <c r="B127" s="11" t="str">
        <f>"544120230811084824123971"</f>
        <v>544120230811084824123971</v>
      </c>
      <c r="C127" s="11" t="str">
        <f t="shared" si="8"/>
        <v>0102</v>
      </c>
      <c r="D127" s="11" t="s">
        <v>10</v>
      </c>
      <c r="E127" s="11" t="str">
        <f>"高林鲜"</f>
        <v>高林鲜</v>
      </c>
      <c r="F127" s="11" t="str">
        <f t="shared" si="9"/>
        <v>女</v>
      </c>
      <c r="G127" s="12"/>
    </row>
    <row r="128" spans="1:7" ht="30" customHeight="1">
      <c r="A128" s="10">
        <v>125</v>
      </c>
      <c r="B128" s="11" t="str">
        <f>"544120230810110615123877"</f>
        <v>544120230810110615123877</v>
      </c>
      <c r="C128" s="11" t="str">
        <f t="shared" si="8"/>
        <v>0102</v>
      </c>
      <c r="D128" s="11" t="s">
        <v>10</v>
      </c>
      <c r="E128" s="11" t="str">
        <f>"梁芳妹"</f>
        <v>梁芳妹</v>
      </c>
      <c r="F128" s="11" t="str">
        <f t="shared" si="9"/>
        <v>女</v>
      </c>
      <c r="G128" s="12"/>
    </row>
    <row r="129" spans="1:7" ht="30" customHeight="1">
      <c r="A129" s="10">
        <v>126</v>
      </c>
      <c r="B129" s="11" t="str">
        <f>"544120230811140828124005"</f>
        <v>544120230811140828124005</v>
      </c>
      <c r="C129" s="11" t="str">
        <f t="shared" si="8"/>
        <v>0102</v>
      </c>
      <c r="D129" s="11" t="s">
        <v>10</v>
      </c>
      <c r="E129" s="11" t="str">
        <f>"董进诗"</f>
        <v>董进诗</v>
      </c>
      <c r="F129" s="11" t="str">
        <f>"男"</f>
        <v>男</v>
      </c>
      <c r="G129" s="12"/>
    </row>
    <row r="130" spans="1:7" ht="30" customHeight="1">
      <c r="A130" s="10">
        <v>127</v>
      </c>
      <c r="B130" s="11" t="str">
        <f>"544120230810090905123846"</f>
        <v>544120230810090905123846</v>
      </c>
      <c r="C130" s="11" t="str">
        <f t="shared" si="8"/>
        <v>0102</v>
      </c>
      <c r="D130" s="11" t="s">
        <v>10</v>
      </c>
      <c r="E130" s="11" t="str">
        <f>"陈倩怡"</f>
        <v>陈倩怡</v>
      </c>
      <c r="F130" s="11" t="str">
        <f aca="true" t="shared" si="10" ref="F130:F140">"女"</f>
        <v>女</v>
      </c>
      <c r="G130" s="12"/>
    </row>
    <row r="131" spans="1:7" ht="30" customHeight="1">
      <c r="A131" s="10">
        <v>128</v>
      </c>
      <c r="B131" s="11" t="str">
        <f>"544120230811112814123999"</f>
        <v>544120230811112814123999</v>
      </c>
      <c r="C131" s="11" t="str">
        <f t="shared" si="8"/>
        <v>0102</v>
      </c>
      <c r="D131" s="11" t="s">
        <v>10</v>
      </c>
      <c r="E131" s="11" t="str">
        <f>"陈积慧"</f>
        <v>陈积慧</v>
      </c>
      <c r="F131" s="11" t="str">
        <f t="shared" si="10"/>
        <v>女</v>
      </c>
      <c r="G131" s="12"/>
    </row>
    <row r="132" spans="1:7" ht="30" customHeight="1">
      <c r="A132" s="10">
        <v>129</v>
      </c>
      <c r="B132" s="11" t="str">
        <f>"544120230811151407124010"</f>
        <v>544120230811151407124010</v>
      </c>
      <c r="C132" s="11" t="str">
        <f t="shared" si="8"/>
        <v>0102</v>
      </c>
      <c r="D132" s="11" t="s">
        <v>10</v>
      </c>
      <c r="E132" s="11" t="str">
        <f>"姜海恋"</f>
        <v>姜海恋</v>
      </c>
      <c r="F132" s="11" t="str">
        <f t="shared" si="10"/>
        <v>女</v>
      </c>
      <c r="G132" s="12"/>
    </row>
    <row r="133" spans="1:7" ht="30" customHeight="1">
      <c r="A133" s="10">
        <v>130</v>
      </c>
      <c r="B133" s="11" t="str">
        <f>"544120230811162710124013"</f>
        <v>544120230811162710124013</v>
      </c>
      <c r="C133" s="11" t="str">
        <f t="shared" si="8"/>
        <v>0102</v>
      </c>
      <c r="D133" s="11" t="s">
        <v>10</v>
      </c>
      <c r="E133" s="11" t="str">
        <f>"李寒"</f>
        <v>李寒</v>
      </c>
      <c r="F133" s="11" t="str">
        <f t="shared" si="10"/>
        <v>女</v>
      </c>
      <c r="G133" s="12"/>
    </row>
    <row r="134" spans="1:7" ht="30" customHeight="1">
      <c r="A134" s="10">
        <v>131</v>
      </c>
      <c r="B134" s="11" t="str">
        <f>"544120230810170139123935"</f>
        <v>544120230810170139123935</v>
      </c>
      <c r="C134" s="11" t="str">
        <f t="shared" si="8"/>
        <v>0102</v>
      </c>
      <c r="D134" s="11" t="s">
        <v>10</v>
      </c>
      <c r="E134" s="11" t="str">
        <f>"周丽"</f>
        <v>周丽</v>
      </c>
      <c r="F134" s="11" t="str">
        <f t="shared" si="10"/>
        <v>女</v>
      </c>
      <c r="G134" s="12"/>
    </row>
    <row r="135" spans="1:7" ht="30" customHeight="1">
      <c r="A135" s="10">
        <v>132</v>
      </c>
      <c r="B135" s="11" t="str">
        <f>"544120230811211345124029"</f>
        <v>544120230811211345124029</v>
      </c>
      <c r="C135" s="11" t="str">
        <f t="shared" si="8"/>
        <v>0102</v>
      </c>
      <c r="D135" s="11" t="s">
        <v>10</v>
      </c>
      <c r="E135" s="11" t="str">
        <f>"钟玲"</f>
        <v>钟玲</v>
      </c>
      <c r="F135" s="11" t="str">
        <f t="shared" si="10"/>
        <v>女</v>
      </c>
      <c r="G135" s="12"/>
    </row>
    <row r="136" spans="1:7" ht="30" customHeight="1">
      <c r="A136" s="10">
        <v>133</v>
      </c>
      <c r="B136" s="11" t="str">
        <f>"544120230811175240124020"</f>
        <v>544120230811175240124020</v>
      </c>
      <c r="C136" s="11" t="str">
        <f t="shared" si="8"/>
        <v>0102</v>
      </c>
      <c r="D136" s="11" t="s">
        <v>10</v>
      </c>
      <c r="E136" s="11" t="str">
        <f>"胡娇莹"</f>
        <v>胡娇莹</v>
      </c>
      <c r="F136" s="11" t="str">
        <f t="shared" si="10"/>
        <v>女</v>
      </c>
      <c r="G136" s="12"/>
    </row>
    <row r="137" spans="1:7" ht="30" customHeight="1">
      <c r="A137" s="10">
        <v>134</v>
      </c>
      <c r="B137" s="11" t="str">
        <f>"544120230811225345124034"</f>
        <v>544120230811225345124034</v>
      </c>
      <c r="C137" s="11" t="str">
        <f t="shared" si="8"/>
        <v>0102</v>
      </c>
      <c r="D137" s="11" t="s">
        <v>10</v>
      </c>
      <c r="E137" s="11" t="str">
        <f>"王凤霞"</f>
        <v>王凤霞</v>
      </c>
      <c r="F137" s="11" t="str">
        <f t="shared" si="10"/>
        <v>女</v>
      </c>
      <c r="G137" s="12"/>
    </row>
    <row r="138" spans="1:7" ht="30" customHeight="1">
      <c r="A138" s="10">
        <v>135</v>
      </c>
      <c r="B138" s="11" t="str">
        <f>"544120230812141716124058"</f>
        <v>544120230812141716124058</v>
      </c>
      <c r="C138" s="11" t="str">
        <f t="shared" si="8"/>
        <v>0102</v>
      </c>
      <c r="D138" s="11" t="s">
        <v>10</v>
      </c>
      <c r="E138" s="11" t="str">
        <f>"刘思思"</f>
        <v>刘思思</v>
      </c>
      <c r="F138" s="11" t="str">
        <f t="shared" si="10"/>
        <v>女</v>
      </c>
      <c r="G138" s="12"/>
    </row>
    <row r="139" spans="1:7" ht="30" customHeight="1">
      <c r="A139" s="10">
        <v>136</v>
      </c>
      <c r="B139" s="11" t="str">
        <f>"544120230812162722124065"</f>
        <v>544120230812162722124065</v>
      </c>
      <c r="C139" s="11" t="str">
        <f t="shared" si="8"/>
        <v>0102</v>
      </c>
      <c r="D139" s="11" t="s">
        <v>10</v>
      </c>
      <c r="E139" s="11" t="str">
        <f>"董朝燕"</f>
        <v>董朝燕</v>
      </c>
      <c r="F139" s="11" t="str">
        <f t="shared" si="10"/>
        <v>女</v>
      </c>
      <c r="G139" s="12"/>
    </row>
    <row r="140" spans="1:7" ht="30" customHeight="1">
      <c r="A140" s="10">
        <v>137</v>
      </c>
      <c r="B140" s="11" t="str">
        <f>"544120230811213001124030"</f>
        <v>544120230811213001124030</v>
      </c>
      <c r="C140" s="11" t="str">
        <f t="shared" si="8"/>
        <v>0102</v>
      </c>
      <c r="D140" s="11" t="s">
        <v>10</v>
      </c>
      <c r="E140" s="11" t="str">
        <f>"陈晓欣"</f>
        <v>陈晓欣</v>
      </c>
      <c r="F140" s="11" t="str">
        <f t="shared" si="10"/>
        <v>女</v>
      </c>
      <c r="G140" s="12"/>
    </row>
    <row r="141" spans="1:7" ht="30" customHeight="1">
      <c r="A141" s="10">
        <v>138</v>
      </c>
      <c r="B141" s="11" t="str">
        <f>"544120230812210447124077"</f>
        <v>544120230812210447124077</v>
      </c>
      <c r="C141" s="11" t="str">
        <f t="shared" si="8"/>
        <v>0102</v>
      </c>
      <c r="D141" s="11" t="s">
        <v>10</v>
      </c>
      <c r="E141" s="11" t="str">
        <f>"符万森"</f>
        <v>符万森</v>
      </c>
      <c r="F141" s="11" t="str">
        <f>"男"</f>
        <v>男</v>
      </c>
      <c r="G141" s="12"/>
    </row>
    <row r="142" spans="1:7" ht="30" customHeight="1">
      <c r="A142" s="10">
        <v>139</v>
      </c>
      <c r="B142" s="11" t="str">
        <f>"544120230812220239124081"</f>
        <v>544120230812220239124081</v>
      </c>
      <c r="C142" s="11" t="str">
        <f t="shared" si="8"/>
        <v>0102</v>
      </c>
      <c r="D142" s="11" t="s">
        <v>10</v>
      </c>
      <c r="E142" s="11" t="str">
        <f>"王秀雯"</f>
        <v>王秀雯</v>
      </c>
      <c r="F142" s="11" t="str">
        <f aca="true" t="shared" si="11" ref="F141:F158">"女"</f>
        <v>女</v>
      </c>
      <c r="G142" s="12"/>
    </row>
    <row r="143" spans="1:7" ht="30" customHeight="1">
      <c r="A143" s="10">
        <v>140</v>
      </c>
      <c r="B143" s="11" t="str">
        <f>"544120230812124104124054"</f>
        <v>544120230812124104124054</v>
      </c>
      <c r="C143" s="11" t="str">
        <f t="shared" si="8"/>
        <v>0102</v>
      </c>
      <c r="D143" s="11" t="s">
        <v>10</v>
      </c>
      <c r="E143" s="11" t="str">
        <f>"黄海茹"</f>
        <v>黄海茹</v>
      </c>
      <c r="F143" s="11" t="str">
        <f t="shared" si="11"/>
        <v>女</v>
      </c>
      <c r="G143" s="12"/>
    </row>
    <row r="144" spans="1:7" ht="30" customHeight="1">
      <c r="A144" s="10">
        <v>141</v>
      </c>
      <c r="B144" s="11" t="str">
        <f>"544120230812231044124085"</f>
        <v>544120230812231044124085</v>
      </c>
      <c r="C144" s="11" t="str">
        <f t="shared" si="8"/>
        <v>0102</v>
      </c>
      <c r="D144" s="11" t="s">
        <v>10</v>
      </c>
      <c r="E144" s="11" t="str">
        <f>"洪梦男"</f>
        <v>洪梦男</v>
      </c>
      <c r="F144" s="11" t="str">
        <f t="shared" si="11"/>
        <v>女</v>
      </c>
      <c r="G144" s="12"/>
    </row>
    <row r="145" spans="1:7" ht="30" customHeight="1">
      <c r="A145" s="10">
        <v>142</v>
      </c>
      <c r="B145" s="11" t="str">
        <f>"544120230811203458124027"</f>
        <v>544120230811203458124027</v>
      </c>
      <c r="C145" s="11" t="str">
        <f t="shared" si="8"/>
        <v>0102</v>
      </c>
      <c r="D145" s="11" t="s">
        <v>10</v>
      </c>
      <c r="E145" s="11" t="str">
        <f>"陈一水"</f>
        <v>陈一水</v>
      </c>
      <c r="F145" s="11" t="str">
        <f t="shared" si="11"/>
        <v>女</v>
      </c>
      <c r="G145" s="12"/>
    </row>
    <row r="146" spans="1:7" ht="30" customHeight="1">
      <c r="A146" s="10">
        <v>143</v>
      </c>
      <c r="B146" s="11" t="str">
        <f>"544120230813144738124093"</f>
        <v>544120230813144738124093</v>
      </c>
      <c r="C146" s="11" t="str">
        <f t="shared" si="8"/>
        <v>0102</v>
      </c>
      <c r="D146" s="11" t="s">
        <v>10</v>
      </c>
      <c r="E146" s="11" t="str">
        <f>"周滢滢"</f>
        <v>周滢滢</v>
      </c>
      <c r="F146" s="11" t="str">
        <f t="shared" si="11"/>
        <v>女</v>
      </c>
      <c r="G146" s="12"/>
    </row>
    <row r="147" spans="1:7" ht="30" customHeight="1">
      <c r="A147" s="10">
        <v>144</v>
      </c>
      <c r="B147" s="11" t="str">
        <f>"544120230810170223123936"</f>
        <v>544120230810170223123936</v>
      </c>
      <c r="C147" s="11" t="str">
        <f t="shared" si="8"/>
        <v>0102</v>
      </c>
      <c r="D147" s="11" t="s">
        <v>10</v>
      </c>
      <c r="E147" s="11" t="str">
        <f>"符达霞"</f>
        <v>符达霞</v>
      </c>
      <c r="F147" s="11" t="str">
        <f t="shared" si="11"/>
        <v>女</v>
      </c>
      <c r="G147" s="12"/>
    </row>
    <row r="148" spans="1:7" ht="30" customHeight="1">
      <c r="A148" s="10">
        <v>145</v>
      </c>
      <c r="B148" s="11" t="str">
        <f>"544120230812111347124047"</f>
        <v>544120230812111347124047</v>
      </c>
      <c r="C148" s="11" t="str">
        <f t="shared" si="8"/>
        <v>0102</v>
      </c>
      <c r="D148" s="11" t="s">
        <v>10</v>
      </c>
      <c r="E148" s="11" t="str">
        <f>"吉亚琴"</f>
        <v>吉亚琴</v>
      </c>
      <c r="F148" s="11" t="str">
        <f t="shared" si="11"/>
        <v>女</v>
      </c>
      <c r="G148" s="12"/>
    </row>
    <row r="149" spans="1:7" ht="30" customHeight="1">
      <c r="A149" s="10">
        <v>146</v>
      </c>
      <c r="B149" s="11" t="str">
        <f>"544120230814104214124125"</f>
        <v>544120230814104214124125</v>
      </c>
      <c r="C149" s="11" t="str">
        <f t="shared" si="8"/>
        <v>0102</v>
      </c>
      <c r="D149" s="11" t="s">
        <v>10</v>
      </c>
      <c r="E149" s="11" t="str">
        <f>"谭亦琳"</f>
        <v>谭亦琳</v>
      </c>
      <c r="F149" s="11" t="str">
        <f t="shared" si="11"/>
        <v>女</v>
      </c>
      <c r="G149" s="12"/>
    </row>
    <row r="150" spans="1:7" ht="30" customHeight="1">
      <c r="A150" s="10">
        <v>147</v>
      </c>
      <c r="B150" s="11" t="str">
        <f>"544120230814112715124131"</f>
        <v>544120230814112715124131</v>
      </c>
      <c r="C150" s="11" t="str">
        <f t="shared" si="8"/>
        <v>0102</v>
      </c>
      <c r="D150" s="11" t="s">
        <v>10</v>
      </c>
      <c r="E150" s="11" t="str">
        <f>"王美娇"</f>
        <v>王美娇</v>
      </c>
      <c r="F150" s="11" t="str">
        <f t="shared" si="11"/>
        <v>女</v>
      </c>
      <c r="G150" s="12"/>
    </row>
    <row r="151" spans="1:7" ht="30" customHeight="1">
      <c r="A151" s="10">
        <v>148</v>
      </c>
      <c r="B151" s="11" t="str">
        <f>"544120230814183231124149"</f>
        <v>544120230814183231124149</v>
      </c>
      <c r="C151" s="11" t="str">
        <f t="shared" si="8"/>
        <v>0102</v>
      </c>
      <c r="D151" s="11" t="s">
        <v>10</v>
      </c>
      <c r="E151" s="11" t="str">
        <f>"蓝本"</f>
        <v>蓝本</v>
      </c>
      <c r="F151" s="11" t="str">
        <f t="shared" si="11"/>
        <v>女</v>
      </c>
      <c r="G151" s="12"/>
    </row>
    <row r="152" spans="1:7" ht="30" customHeight="1">
      <c r="A152" s="10">
        <v>149</v>
      </c>
      <c r="B152" s="11" t="str">
        <f>"544120230814211257124156"</f>
        <v>544120230814211257124156</v>
      </c>
      <c r="C152" s="11" t="str">
        <f t="shared" si="8"/>
        <v>0102</v>
      </c>
      <c r="D152" s="11" t="s">
        <v>10</v>
      </c>
      <c r="E152" s="11" t="str">
        <f>"徐芳"</f>
        <v>徐芳</v>
      </c>
      <c r="F152" s="11" t="str">
        <f t="shared" si="11"/>
        <v>女</v>
      </c>
      <c r="G152" s="12"/>
    </row>
    <row r="153" spans="1:7" ht="30" customHeight="1">
      <c r="A153" s="10">
        <v>150</v>
      </c>
      <c r="B153" s="11" t="str">
        <f>"544120230815090311124162"</f>
        <v>544120230815090311124162</v>
      </c>
      <c r="C153" s="11" t="str">
        <f t="shared" si="8"/>
        <v>0102</v>
      </c>
      <c r="D153" s="11" t="s">
        <v>10</v>
      </c>
      <c r="E153" s="11" t="str">
        <f>"林海霞"</f>
        <v>林海霞</v>
      </c>
      <c r="F153" s="11" t="str">
        <f t="shared" si="11"/>
        <v>女</v>
      </c>
      <c r="G153" s="12"/>
    </row>
    <row r="154" spans="1:7" ht="30" customHeight="1">
      <c r="A154" s="10">
        <v>151</v>
      </c>
      <c r="B154" s="11" t="str">
        <f>"544120230815115749124178"</f>
        <v>544120230815115749124178</v>
      </c>
      <c r="C154" s="11" t="str">
        <f t="shared" si="8"/>
        <v>0102</v>
      </c>
      <c r="D154" s="11" t="s">
        <v>10</v>
      </c>
      <c r="E154" s="11" t="str">
        <f>"罗玲丽"</f>
        <v>罗玲丽</v>
      </c>
      <c r="F154" s="11" t="str">
        <f t="shared" si="11"/>
        <v>女</v>
      </c>
      <c r="G154" s="12"/>
    </row>
    <row r="155" spans="1:7" ht="30" customHeight="1">
      <c r="A155" s="10">
        <v>152</v>
      </c>
      <c r="B155" s="11" t="str">
        <f>"544120230815112633124175"</f>
        <v>544120230815112633124175</v>
      </c>
      <c r="C155" s="11" t="str">
        <f t="shared" si="8"/>
        <v>0102</v>
      </c>
      <c r="D155" s="11" t="s">
        <v>10</v>
      </c>
      <c r="E155" s="11" t="str">
        <f>"王丹妮"</f>
        <v>王丹妮</v>
      </c>
      <c r="F155" s="11" t="str">
        <f t="shared" si="11"/>
        <v>女</v>
      </c>
      <c r="G155" s="12"/>
    </row>
    <row r="156" spans="1:7" ht="30" customHeight="1">
      <c r="A156" s="10">
        <v>153</v>
      </c>
      <c r="B156" s="11" t="str">
        <f>"544120230813131624124091"</f>
        <v>544120230813131624124091</v>
      </c>
      <c r="C156" s="11" t="str">
        <f t="shared" si="8"/>
        <v>0102</v>
      </c>
      <c r="D156" s="11" t="s">
        <v>10</v>
      </c>
      <c r="E156" s="11" t="str">
        <f>"黄婷婷"</f>
        <v>黄婷婷</v>
      </c>
      <c r="F156" s="11" t="str">
        <f t="shared" si="11"/>
        <v>女</v>
      </c>
      <c r="G156" s="12"/>
    </row>
    <row r="157" spans="1:7" ht="30" customHeight="1">
      <c r="A157" s="10">
        <v>154</v>
      </c>
      <c r="B157" s="11" t="str">
        <f>"544120230815212613124192"</f>
        <v>544120230815212613124192</v>
      </c>
      <c r="C157" s="11" t="str">
        <f t="shared" si="8"/>
        <v>0102</v>
      </c>
      <c r="D157" s="11" t="s">
        <v>10</v>
      </c>
      <c r="E157" s="11" t="str">
        <f>"文世芬"</f>
        <v>文世芬</v>
      </c>
      <c r="F157" s="11" t="str">
        <f t="shared" si="11"/>
        <v>女</v>
      </c>
      <c r="G157" s="12"/>
    </row>
    <row r="158" spans="1:7" ht="30" customHeight="1">
      <c r="A158" s="10">
        <v>155</v>
      </c>
      <c r="B158" s="11" t="str">
        <f>"544120230815102545124167"</f>
        <v>544120230815102545124167</v>
      </c>
      <c r="C158" s="11" t="str">
        <f t="shared" si="8"/>
        <v>0102</v>
      </c>
      <c r="D158" s="11" t="s">
        <v>10</v>
      </c>
      <c r="E158" s="11" t="str">
        <f>"王媛"</f>
        <v>王媛</v>
      </c>
      <c r="F158" s="11" t="str">
        <f t="shared" si="11"/>
        <v>女</v>
      </c>
      <c r="G158" s="12"/>
    </row>
    <row r="159" spans="1:7" ht="30" customHeight="1">
      <c r="A159" s="10">
        <v>156</v>
      </c>
      <c r="B159" s="11" t="str">
        <f>"544120230812155850124062"</f>
        <v>544120230812155850124062</v>
      </c>
      <c r="C159" s="11" t="str">
        <f t="shared" si="8"/>
        <v>0102</v>
      </c>
      <c r="D159" s="11" t="s">
        <v>10</v>
      </c>
      <c r="E159" s="11" t="str">
        <f>"符振华"</f>
        <v>符振华</v>
      </c>
      <c r="F159" s="11" t="str">
        <f>"男"</f>
        <v>男</v>
      </c>
      <c r="G159" s="12"/>
    </row>
    <row r="160" spans="1:7" ht="30" customHeight="1">
      <c r="A160" s="10">
        <v>157</v>
      </c>
      <c r="B160" s="11" t="str">
        <f>"544120230816165639124224"</f>
        <v>544120230816165639124224</v>
      </c>
      <c r="C160" s="11" t="str">
        <f t="shared" si="8"/>
        <v>0102</v>
      </c>
      <c r="D160" s="11" t="s">
        <v>10</v>
      </c>
      <c r="E160" s="11" t="str">
        <f>"罗晓萌"</f>
        <v>罗晓萌</v>
      </c>
      <c r="F160" s="11" t="str">
        <f>"女"</f>
        <v>女</v>
      </c>
      <c r="G160" s="12"/>
    </row>
    <row r="161" spans="1:7" ht="30" customHeight="1">
      <c r="A161" s="10">
        <v>158</v>
      </c>
      <c r="B161" s="11" t="str">
        <f>"544120230813232411124107"</f>
        <v>544120230813232411124107</v>
      </c>
      <c r="C161" s="11" t="str">
        <f t="shared" si="8"/>
        <v>0102</v>
      </c>
      <c r="D161" s="11" t="s">
        <v>10</v>
      </c>
      <c r="E161" s="11" t="str">
        <f>"兰雅"</f>
        <v>兰雅</v>
      </c>
      <c r="F161" s="11" t="str">
        <f>"女"</f>
        <v>女</v>
      </c>
      <c r="G161" s="12"/>
    </row>
    <row r="162" spans="1:7" ht="30" customHeight="1">
      <c r="A162" s="10">
        <v>159</v>
      </c>
      <c r="B162" s="11" t="str">
        <f>"544120230810124234123897"</f>
        <v>544120230810124234123897</v>
      </c>
      <c r="C162" s="11" t="str">
        <f t="shared" si="8"/>
        <v>0102</v>
      </c>
      <c r="D162" s="11" t="s">
        <v>10</v>
      </c>
      <c r="E162" s="11" t="str">
        <f>"董欢"</f>
        <v>董欢</v>
      </c>
      <c r="F162" s="11" t="str">
        <f>"女"</f>
        <v>女</v>
      </c>
      <c r="G162" s="12"/>
    </row>
    <row r="163" spans="1:7" ht="30" customHeight="1">
      <c r="A163" s="10">
        <v>160</v>
      </c>
      <c r="B163" s="11" t="str">
        <f>"544120230811143635124007"</f>
        <v>544120230811143635124007</v>
      </c>
      <c r="C163" s="11" t="str">
        <f t="shared" si="8"/>
        <v>0102</v>
      </c>
      <c r="D163" s="11" t="s">
        <v>10</v>
      </c>
      <c r="E163" s="11" t="str">
        <f>"苏统阳"</f>
        <v>苏统阳</v>
      </c>
      <c r="F163" s="11" t="str">
        <f>"男"</f>
        <v>男</v>
      </c>
      <c r="G163" s="12"/>
    </row>
    <row r="164" spans="1:7" ht="30" customHeight="1">
      <c r="A164" s="10">
        <v>161</v>
      </c>
      <c r="B164" s="11" t="str">
        <f>"544120230817142300124251"</f>
        <v>544120230817142300124251</v>
      </c>
      <c r="C164" s="11" t="str">
        <f t="shared" si="8"/>
        <v>0102</v>
      </c>
      <c r="D164" s="11" t="s">
        <v>10</v>
      </c>
      <c r="E164" s="11" t="str">
        <f>"黄斌"</f>
        <v>黄斌</v>
      </c>
      <c r="F164" s="11" t="str">
        <f>"男"</f>
        <v>男</v>
      </c>
      <c r="G164" s="12"/>
    </row>
    <row r="165" spans="1:7" ht="30" customHeight="1">
      <c r="A165" s="10">
        <v>162</v>
      </c>
      <c r="B165" s="11" t="str">
        <f>"544120230811130507124003"</f>
        <v>544120230811130507124003</v>
      </c>
      <c r="C165" s="11" t="str">
        <f t="shared" si="8"/>
        <v>0102</v>
      </c>
      <c r="D165" s="11" t="s">
        <v>10</v>
      </c>
      <c r="E165" s="11" t="str">
        <f>"吉琼娟"</f>
        <v>吉琼娟</v>
      </c>
      <c r="F165" s="11" t="str">
        <f>"女"</f>
        <v>女</v>
      </c>
      <c r="G165" s="12"/>
    </row>
    <row r="166" spans="1:7" ht="30" customHeight="1">
      <c r="A166" s="10">
        <v>163</v>
      </c>
      <c r="B166" s="11" t="str">
        <f>"544120230817094633124242"</f>
        <v>544120230817094633124242</v>
      </c>
      <c r="C166" s="11" t="str">
        <f t="shared" si="8"/>
        <v>0102</v>
      </c>
      <c r="D166" s="11" t="s">
        <v>10</v>
      </c>
      <c r="E166" s="11" t="str">
        <f>"文洋"</f>
        <v>文洋</v>
      </c>
      <c r="F166" s="11" t="str">
        <f>"男"</f>
        <v>男</v>
      </c>
      <c r="G166" s="12"/>
    </row>
    <row r="167" spans="1:7" ht="30" customHeight="1">
      <c r="A167" s="10">
        <v>164</v>
      </c>
      <c r="B167" s="11" t="str">
        <f>"544120230813122113124089"</f>
        <v>544120230813122113124089</v>
      </c>
      <c r="C167" s="11" t="str">
        <f t="shared" si="8"/>
        <v>0102</v>
      </c>
      <c r="D167" s="11" t="s">
        <v>10</v>
      </c>
      <c r="E167" s="11" t="str">
        <f>"邓佳语"</f>
        <v>邓佳语</v>
      </c>
      <c r="F167" s="11" t="str">
        <f aca="true" t="shared" si="12" ref="F167:F173">"女"</f>
        <v>女</v>
      </c>
      <c r="G167" s="12"/>
    </row>
    <row r="168" spans="1:7" ht="30" customHeight="1">
      <c r="A168" s="10">
        <v>165</v>
      </c>
      <c r="B168" s="11" t="str">
        <f>"544120230818162247124277"</f>
        <v>544120230818162247124277</v>
      </c>
      <c r="C168" s="11" t="str">
        <f t="shared" si="8"/>
        <v>0102</v>
      </c>
      <c r="D168" s="11" t="s">
        <v>10</v>
      </c>
      <c r="E168" s="11" t="str">
        <f>"符玉青"</f>
        <v>符玉青</v>
      </c>
      <c r="F168" s="11" t="str">
        <f t="shared" si="12"/>
        <v>女</v>
      </c>
      <c r="G168" s="12"/>
    </row>
    <row r="169" spans="1:7" ht="30" customHeight="1">
      <c r="A169" s="10">
        <v>166</v>
      </c>
      <c r="B169" s="11" t="str">
        <f>"544120230817091702124241"</f>
        <v>544120230817091702124241</v>
      </c>
      <c r="C169" s="11" t="str">
        <f t="shared" si="8"/>
        <v>0102</v>
      </c>
      <c r="D169" s="11" t="s">
        <v>10</v>
      </c>
      <c r="E169" s="11" t="str">
        <f>"高佳微"</f>
        <v>高佳微</v>
      </c>
      <c r="F169" s="11" t="str">
        <f t="shared" si="12"/>
        <v>女</v>
      </c>
      <c r="G169" s="12"/>
    </row>
    <row r="170" spans="1:7" ht="30" customHeight="1">
      <c r="A170" s="10">
        <v>167</v>
      </c>
      <c r="B170" s="11" t="str">
        <f>"544120230818094813124267"</f>
        <v>544120230818094813124267</v>
      </c>
      <c r="C170" s="11" t="str">
        <f t="shared" si="8"/>
        <v>0102</v>
      </c>
      <c r="D170" s="11" t="s">
        <v>10</v>
      </c>
      <c r="E170" s="11" t="str">
        <f>"符红丽"</f>
        <v>符红丽</v>
      </c>
      <c r="F170" s="11" t="str">
        <f t="shared" si="12"/>
        <v>女</v>
      </c>
      <c r="G170" s="12"/>
    </row>
    <row r="171" spans="1:7" ht="30" customHeight="1">
      <c r="A171" s="10">
        <v>168</v>
      </c>
      <c r="B171" s="11" t="str">
        <f>"544120230810181014123940"</f>
        <v>544120230810181014123940</v>
      </c>
      <c r="C171" s="11" t="str">
        <f t="shared" si="8"/>
        <v>0102</v>
      </c>
      <c r="D171" s="11" t="s">
        <v>10</v>
      </c>
      <c r="E171" s="11" t="str">
        <f>"卓绚"</f>
        <v>卓绚</v>
      </c>
      <c r="F171" s="11" t="str">
        <f t="shared" si="12"/>
        <v>女</v>
      </c>
      <c r="G171" s="12"/>
    </row>
    <row r="172" spans="1:7" ht="30" customHeight="1">
      <c r="A172" s="10">
        <v>169</v>
      </c>
      <c r="B172" s="11" t="str">
        <f>"544120230820214941124302"</f>
        <v>544120230820214941124302</v>
      </c>
      <c r="C172" s="11" t="str">
        <f t="shared" si="8"/>
        <v>0102</v>
      </c>
      <c r="D172" s="11" t="s">
        <v>10</v>
      </c>
      <c r="E172" s="11" t="str">
        <f>"苏叶子"</f>
        <v>苏叶子</v>
      </c>
      <c r="F172" s="11" t="str">
        <f t="shared" si="12"/>
        <v>女</v>
      </c>
      <c r="G172" s="12"/>
    </row>
    <row r="173" spans="1:7" ht="30" customHeight="1">
      <c r="A173" s="10">
        <v>170</v>
      </c>
      <c r="B173" s="11" t="str">
        <f>"544120230821084959124309"</f>
        <v>544120230821084959124309</v>
      </c>
      <c r="C173" s="11" t="str">
        <f t="shared" si="8"/>
        <v>0102</v>
      </c>
      <c r="D173" s="11" t="s">
        <v>10</v>
      </c>
      <c r="E173" s="11" t="str">
        <f>"符文莹"</f>
        <v>符文莹</v>
      </c>
      <c r="F173" s="11" t="str">
        <f t="shared" si="12"/>
        <v>女</v>
      </c>
      <c r="G173" s="12"/>
    </row>
    <row r="174" spans="1:7" ht="30" customHeight="1">
      <c r="A174" s="10">
        <v>171</v>
      </c>
      <c r="B174" s="11" t="str">
        <f>"544120230821103338124316"</f>
        <v>544120230821103338124316</v>
      </c>
      <c r="C174" s="11" t="str">
        <f t="shared" si="8"/>
        <v>0102</v>
      </c>
      <c r="D174" s="11" t="s">
        <v>10</v>
      </c>
      <c r="E174" s="11" t="str">
        <f>"谭伟"</f>
        <v>谭伟</v>
      </c>
      <c r="F174" s="11" t="str">
        <f>"男"</f>
        <v>男</v>
      </c>
      <c r="G174" s="12"/>
    </row>
    <row r="175" spans="1:7" ht="30" customHeight="1">
      <c r="A175" s="10">
        <v>172</v>
      </c>
      <c r="B175" s="11" t="str">
        <f>"544120230811215910124031"</f>
        <v>544120230811215910124031</v>
      </c>
      <c r="C175" s="11" t="str">
        <f aca="true" t="shared" si="13" ref="C175:C191">"0102"</f>
        <v>0102</v>
      </c>
      <c r="D175" s="11" t="s">
        <v>10</v>
      </c>
      <c r="E175" s="11" t="str">
        <f>"陈传瑞"</f>
        <v>陈传瑞</v>
      </c>
      <c r="F175" s="11" t="str">
        <f>"女"</f>
        <v>女</v>
      </c>
      <c r="G175" s="12"/>
    </row>
    <row r="176" spans="1:7" ht="30" customHeight="1">
      <c r="A176" s="10">
        <v>173</v>
      </c>
      <c r="B176" s="11" t="str">
        <f>"544120230821113312124320"</f>
        <v>544120230821113312124320</v>
      </c>
      <c r="C176" s="11" t="str">
        <f t="shared" si="13"/>
        <v>0102</v>
      </c>
      <c r="D176" s="11" t="s">
        <v>10</v>
      </c>
      <c r="E176" s="11" t="str">
        <f>"杨家耀"</f>
        <v>杨家耀</v>
      </c>
      <c r="F176" s="11" t="str">
        <f>"男"</f>
        <v>男</v>
      </c>
      <c r="G176" s="12"/>
    </row>
    <row r="177" spans="1:7" ht="30" customHeight="1">
      <c r="A177" s="10">
        <v>174</v>
      </c>
      <c r="B177" s="11" t="str">
        <f>"544120230821150025124333"</f>
        <v>544120230821150025124333</v>
      </c>
      <c r="C177" s="11" t="str">
        <f t="shared" si="13"/>
        <v>0102</v>
      </c>
      <c r="D177" s="11" t="s">
        <v>10</v>
      </c>
      <c r="E177" s="11" t="str">
        <f>"黄颖"</f>
        <v>黄颖</v>
      </c>
      <c r="F177" s="11" t="str">
        <f>"女"</f>
        <v>女</v>
      </c>
      <c r="G177" s="12"/>
    </row>
    <row r="178" spans="1:7" ht="30" customHeight="1">
      <c r="A178" s="10">
        <v>175</v>
      </c>
      <c r="B178" s="11" t="str">
        <f>"544120230817133310124250"</f>
        <v>544120230817133310124250</v>
      </c>
      <c r="C178" s="11" t="str">
        <f t="shared" si="13"/>
        <v>0102</v>
      </c>
      <c r="D178" s="11" t="s">
        <v>10</v>
      </c>
      <c r="E178" s="11" t="str">
        <f>"胡小纱"</f>
        <v>胡小纱</v>
      </c>
      <c r="F178" s="11" t="str">
        <f>"女"</f>
        <v>女</v>
      </c>
      <c r="G178" s="12"/>
    </row>
    <row r="179" spans="1:7" ht="30" customHeight="1">
      <c r="A179" s="10">
        <v>176</v>
      </c>
      <c r="B179" s="11" t="str">
        <f>"544120230821135524124328"</f>
        <v>544120230821135524124328</v>
      </c>
      <c r="C179" s="11" t="str">
        <f t="shared" si="13"/>
        <v>0102</v>
      </c>
      <c r="D179" s="11" t="s">
        <v>10</v>
      </c>
      <c r="E179" s="11" t="str">
        <f>"邢孔芸"</f>
        <v>邢孔芸</v>
      </c>
      <c r="F179" s="11" t="str">
        <f>"女"</f>
        <v>女</v>
      </c>
      <c r="G179" s="12"/>
    </row>
    <row r="180" spans="1:7" ht="30" customHeight="1">
      <c r="A180" s="10">
        <v>177</v>
      </c>
      <c r="B180" s="11" t="str">
        <f>"544120230821172406124342"</f>
        <v>544120230821172406124342</v>
      </c>
      <c r="C180" s="11" t="str">
        <f t="shared" si="13"/>
        <v>0102</v>
      </c>
      <c r="D180" s="11" t="s">
        <v>10</v>
      </c>
      <c r="E180" s="11" t="str">
        <f>"吴宇森"</f>
        <v>吴宇森</v>
      </c>
      <c r="F180" s="11" t="str">
        <f>"男"</f>
        <v>男</v>
      </c>
      <c r="G180" s="12"/>
    </row>
    <row r="181" spans="1:7" ht="30" customHeight="1">
      <c r="A181" s="10">
        <v>178</v>
      </c>
      <c r="B181" s="11" t="str">
        <f>"544120230822093006124367"</f>
        <v>544120230822093006124367</v>
      </c>
      <c r="C181" s="11" t="str">
        <f t="shared" si="13"/>
        <v>0102</v>
      </c>
      <c r="D181" s="11" t="s">
        <v>10</v>
      </c>
      <c r="E181" s="11" t="str">
        <f>"胡韩施"</f>
        <v>胡韩施</v>
      </c>
      <c r="F181" s="11" t="str">
        <f>"女"</f>
        <v>女</v>
      </c>
      <c r="G181" s="12"/>
    </row>
    <row r="182" spans="1:7" ht="30" customHeight="1">
      <c r="A182" s="10">
        <v>179</v>
      </c>
      <c r="B182" s="11" t="str">
        <f>"544120230822160354124383"</f>
        <v>544120230822160354124383</v>
      </c>
      <c r="C182" s="11" t="str">
        <f t="shared" si="13"/>
        <v>0102</v>
      </c>
      <c r="D182" s="11" t="s">
        <v>10</v>
      </c>
      <c r="E182" s="11" t="str">
        <f>"王超敏"</f>
        <v>王超敏</v>
      </c>
      <c r="F182" s="11" t="str">
        <f>"女"</f>
        <v>女</v>
      </c>
      <c r="G182" s="12"/>
    </row>
    <row r="183" spans="1:7" ht="30" customHeight="1">
      <c r="A183" s="10">
        <v>180</v>
      </c>
      <c r="B183" s="11" t="str">
        <f>"544120230822175526124390"</f>
        <v>544120230822175526124390</v>
      </c>
      <c r="C183" s="11" t="str">
        <f t="shared" si="13"/>
        <v>0102</v>
      </c>
      <c r="D183" s="11" t="s">
        <v>10</v>
      </c>
      <c r="E183" s="11" t="str">
        <f>"陈妹"</f>
        <v>陈妹</v>
      </c>
      <c r="F183" s="11" t="str">
        <f>"女"</f>
        <v>女</v>
      </c>
      <c r="G183" s="12"/>
    </row>
    <row r="184" spans="1:7" ht="30" customHeight="1">
      <c r="A184" s="10">
        <v>181</v>
      </c>
      <c r="B184" s="11" t="str">
        <f>"544120230815194217124189"</f>
        <v>544120230815194217124189</v>
      </c>
      <c r="C184" s="11" t="str">
        <f t="shared" si="13"/>
        <v>0102</v>
      </c>
      <c r="D184" s="11" t="s">
        <v>10</v>
      </c>
      <c r="E184" s="11" t="str">
        <f>"符明熠"</f>
        <v>符明熠</v>
      </c>
      <c r="F184" s="11" t="str">
        <f>"男"</f>
        <v>男</v>
      </c>
      <c r="G184" s="12"/>
    </row>
    <row r="185" spans="1:7" ht="30" customHeight="1">
      <c r="A185" s="10">
        <v>182</v>
      </c>
      <c r="B185" s="11" t="str">
        <f>"544120230810155945123919"</f>
        <v>544120230810155945123919</v>
      </c>
      <c r="C185" s="11" t="str">
        <f t="shared" si="13"/>
        <v>0102</v>
      </c>
      <c r="D185" s="11" t="s">
        <v>10</v>
      </c>
      <c r="E185" s="11" t="str">
        <f>"蔡飞燕"</f>
        <v>蔡飞燕</v>
      </c>
      <c r="F185" s="11" t="str">
        <f>"女"</f>
        <v>女</v>
      </c>
      <c r="G185" s="12"/>
    </row>
    <row r="186" spans="1:7" ht="30" customHeight="1">
      <c r="A186" s="10">
        <v>183</v>
      </c>
      <c r="B186" s="11" t="str">
        <f>"544120230822093701124368"</f>
        <v>544120230822093701124368</v>
      </c>
      <c r="C186" s="11" t="str">
        <f t="shared" si="13"/>
        <v>0102</v>
      </c>
      <c r="D186" s="11" t="s">
        <v>10</v>
      </c>
      <c r="E186" s="11" t="str">
        <f>"高芳举"</f>
        <v>高芳举</v>
      </c>
      <c r="F186" s="11" t="str">
        <f>"女"</f>
        <v>女</v>
      </c>
      <c r="G186" s="12"/>
    </row>
    <row r="187" spans="1:7" ht="30" customHeight="1">
      <c r="A187" s="10">
        <v>184</v>
      </c>
      <c r="B187" s="11" t="str">
        <f>"544120230823004005124409"</f>
        <v>544120230823004005124409</v>
      </c>
      <c r="C187" s="11" t="str">
        <f t="shared" si="13"/>
        <v>0102</v>
      </c>
      <c r="D187" s="11" t="s">
        <v>10</v>
      </c>
      <c r="E187" s="11" t="str">
        <f>"王靖雲"</f>
        <v>王靖雲</v>
      </c>
      <c r="F187" s="11" t="str">
        <f>"男"</f>
        <v>男</v>
      </c>
      <c r="G187" s="12"/>
    </row>
    <row r="188" spans="1:7" ht="30" customHeight="1">
      <c r="A188" s="10">
        <v>185</v>
      </c>
      <c r="B188" s="11" t="str">
        <f>"544120230822192124124395"</f>
        <v>544120230822192124124395</v>
      </c>
      <c r="C188" s="11" t="str">
        <f t="shared" si="13"/>
        <v>0102</v>
      </c>
      <c r="D188" s="11" t="s">
        <v>10</v>
      </c>
      <c r="E188" s="11" t="str">
        <f>"麦伟妮"</f>
        <v>麦伟妮</v>
      </c>
      <c r="F188" s="11" t="str">
        <f aca="true" t="shared" si="14" ref="F188:F206">"女"</f>
        <v>女</v>
      </c>
      <c r="G188" s="12"/>
    </row>
    <row r="189" spans="1:7" ht="30" customHeight="1">
      <c r="A189" s="10">
        <v>186</v>
      </c>
      <c r="B189" s="11" t="str">
        <f>"544120230823101713124426"</f>
        <v>544120230823101713124426</v>
      </c>
      <c r="C189" s="11" t="str">
        <f t="shared" si="13"/>
        <v>0102</v>
      </c>
      <c r="D189" s="11" t="s">
        <v>10</v>
      </c>
      <c r="E189" s="11" t="str">
        <f>"文宣萱"</f>
        <v>文宣萱</v>
      </c>
      <c r="F189" s="11" t="str">
        <f t="shared" si="14"/>
        <v>女</v>
      </c>
      <c r="G189" s="12"/>
    </row>
    <row r="190" spans="1:7" ht="30" customHeight="1">
      <c r="A190" s="10">
        <v>187</v>
      </c>
      <c r="B190" s="11" t="str">
        <f>"544120230823110952124430"</f>
        <v>544120230823110952124430</v>
      </c>
      <c r="C190" s="11" t="str">
        <f t="shared" si="13"/>
        <v>0102</v>
      </c>
      <c r="D190" s="11" t="s">
        <v>10</v>
      </c>
      <c r="E190" s="11" t="str">
        <f>"陈乙玲"</f>
        <v>陈乙玲</v>
      </c>
      <c r="F190" s="11" t="str">
        <f t="shared" si="14"/>
        <v>女</v>
      </c>
      <c r="G190" s="12"/>
    </row>
    <row r="191" spans="1:7" ht="30" customHeight="1">
      <c r="A191" s="10">
        <v>188</v>
      </c>
      <c r="B191" s="11" t="str">
        <f>"544120230823112617124431"</f>
        <v>544120230823112617124431</v>
      </c>
      <c r="C191" s="11" t="str">
        <f t="shared" si="13"/>
        <v>0102</v>
      </c>
      <c r="D191" s="11" t="s">
        <v>10</v>
      </c>
      <c r="E191" s="11" t="str">
        <f>"王琦仙"</f>
        <v>王琦仙</v>
      </c>
      <c r="F191" s="11" t="str">
        <f t="shared" si="14"/>
        <v>女</v>
      </c>
      <c r="G191" s="12"/>
    </row>
    <row r="192" spans="1:7" ht="30" customHeight="1">
      <c r="A192" s="10">
        <v>189</v>
      </c>
      <c r="B192" s="11" t="str">
        <f>"544120230810090408123843"</f>
        <v>544120230810090408123843</v>
      </c>
      <c r="C192" s="11" t="str">
        <f aca="true" t="shared" si="15" ref="C192:C255">"0103"</f>
        <v>0103</v>
      </c>
      <c r="D192" s="11" t="s">
        <v>11</v>
      </c>
      <c r="E192" s="11" t="str">
        <f>"张馨月"</f>
        <v>张馨月</v>
      </c>
      <c r="F192" s="11" t="str">
        <f t="shared" si="14"/>
        <v>女</v>
      </c>
      <c r="G192" s="12"/>
    </row>
    <row r="193" spans="1:7" ht="30" customHeight="1">
      <c r="A193" s="10">
        <v>190</v>
      </c>
      <c r="B193" s="11" t="str">
        <f>"544120230810092322123853"</f>
        <v>544120230810092322123853</v>
      </c>
      <c r="C193" s="11" t="str">
        <f t="shared" si="15"/>
        <v>0103</v>
      </c>
      <c r="D193" s="11" t="s">
        <v>11</v>
      </c>
      <c r="E193" s="11" t="str">
        <f>"王颢颖"</f>
        <v>王颢颖</v>
      </c>
      <c r="F193" s="11" t="str">
        <f t="shared" si="14"/>
        <v>女</v>
      </c>
      <c r="G193" s="12"/>
    </row>
    <row r="194" spans="1:7" ht="30" customHeight="1">
      <c r="A194" s="10">
        <v>191</v>
      </c>
      <c r="B194" s="11" t="str">
        <f>"544120230810091208123847"</f>
        <v>544120230810091208123847</v>
      </c>
      <c r="C194" s="11" t="str">
        <f t="shared" si="15"/>
        <v>0103</v>
      </c>
      <c r="D194" s="11" t="s">
        <v>11</v>
      </c>
      <c r="E194" s="11" t="str">
        <f>"陈美乾"</f>
        <v>陈美乾</v>
      </c>
      <c r="F194" s="11" t="str">
        <f t="shared" si="14"/>
        <v>女</v>
      </c>
      <c r="G194" s="12"/>
    </row>
    <row r="195" spans="1:7" ht="30" customHeight="1">
      <c r="A195" s="10">
        <v>192</v>
      </c>
      <c r="B195" s="11" t="str">
        <f>"544120230810091430123849"</f>
        <v>544120230810091430123849</v>
      </c>
      <c r="C195" s="11" t="str">
        <f t="shared" si="15"/>
        <v>0103</v>
      </c>
      <c r="D195" s="11" t="s">
        <v>11</v>
      </c>
      <c r="E195" s="11" t="str">
        <f>"王紫涵"</f>
        <v>王紫涵</v>
      </c>
      <c r="F195" s="11" t="str">
        <f t="shared" si="14"/>
        <v>女</v>
      </c>
      <c r="G195" s="12"/>
    </row>
    <row r="196" spans="1:7" ht="30" customHeight="1">
      <c r="A196" s="10">
        <v>193</v>
      </c>
      <c r="B196" s="11" t="str">
        <f>"544120230810102805123874"</f>
        <v>544120230810102805123874</v>
      </c>
      <c r="C196" s="11" t="str">
        <f t="shared" si="15"/>
        <v>0103</v>
      </c>
      <c r="D196" s="11" t="s">
        <v>11</v>
      </c>
      <c r="E196" s="11" t="str">
        <f>"王金春"</f>
        <v>王金春</v>
      </c>
      <c r="F196" s="11" t="str">
        <f t="shared" si="14"/>
        <v>女</v>
      </c>
      <c r="G196" s="12"/>
    </row>
    <row r="197" spans="1:7" ht="30" customHeight="1">
      <c r="A197" s="10">
        <v>194</v>
      </c>
      <c r="B197" s="11" t="str">
        <f>"544120230810101110123872"</f>
        <v>544120230810101110123872</v>
      </c>
      <c r="C197" s="11" t="str">
        <f t="shared" si="15"/>
        <v>0103</v>
      </c>
      <c r="D197" s="11" t="s">
        <v>11</v>
      </c>
      <c r="E197" s="11" t="str">
        <f>"邱垂慧"</f>
        <v>邱垂慧</v>
      </c>
      <c r="F197" s="11" t="str">
        <f t="shared" si="14"/>
        <v>女</v>
      </c>
      <c r="G197" s="12"/>
    </row>
    <row r="198" spans="1:7" ht="30" customHeight="1">
      <c r="A198" s="10">
        <v>195</v>
      </c>
      <c r="B198" s="11" t="str">
        <f>"544120230810102724123873"</f>
        <v>544120230810102724123873</v>
      </c>
      <c r="C198" s="11" t="str">
        <f t="shared" si="15"/>
        <v>0103</v>
      </c>
      <c r="D198" s="11" t="s">
        <v>11</v>
      </c>
      <c r="E198" s="11" t="str">
        <f>"王莉婵"</f>
        <v>王莉婵</v>
      </c>
      <c r="F198" s="11" t="str">
        <f t="shared" si="14"/>
        <v>女</v>
      </c>
      <c r="G198" s="12"/>
    </row>
    <row r="199" spans="1:7" ht="30" customHeight="1">
      <c r="A199" s="10">
        <v>196</v>
      </c>
      <c r="B199" s="11" t="str">
        <f>"544120230810095943123865"</f>
        <v>544120230810095943123865</v>
      </c>
      <c r="C199" s="11" t="str">
        <f t="shared" si="15"/>
        <v>0103</v>
      </c>
      <c r="D199" s="11" t="s">
        <v>11</v>
      </c>
      <c r="E199" s="11" t="str">
        <f>"林树霞"</f>
        <v>林树霞</v>
      </c>
      <c r="F199" s="11" t="str">
        <f t="shared" si="14"/>
        <v>女</v>
      </c>
      <c r="G199" s="12"/>
    </row>
    <row r="200" spans="1:7" ht="30" customHeight="1">
      <c r="A200" s="10">
        <v>197</v>
      </c>
      <c r="B200" s="11" t="str">
        <f>"544120230810100444123867"</f>
        <v>544120230810100444123867</v>
      </c>
      <c r="C200" s="11" t="str">
        <f t="shared" si="15"/>
        <v>0103</v>
      </c>
      <c r="D200" s="11" t="s">
        <v>11</v>
      </c>
      <c r="E200" s="11" t="str">
        <f>"黎美烨"</f>
        <v>黎美烨</v>
      </c>
      <c r="F200" s="11" t="str">
        <f t="shared" si="14"/>
        <v>女</v>
      </c>
      <c r="G200" s="12"/>
    </row>
    <row r="201" spans="1:7" ht="30" customHeight="1">
      <c r="A201" s="10">
        <v>198</v>
      </c>
      <c r="B201" s="11" t="str">
        <f>"544120230810112705123882"</f>
        <v>544120230810112705123882</v>
      </c>
      <c r="C201" s="11" t="str">
        <f t="shared" si="15"/>
        <v>0103</v>
      </c>
      <c r="D201" s="11" t="s">
        <v>11</v>
      </c>
      <c r="E201" s="11" t="str">
        <f>"董嬉娉"</f>
        <v>董嬉娉</v>
      </c>
      <c r="F201" s="11" t="str">
        <f t="shared" si="14"/>
        <v>女</v>
      </c>
      <c r="G201" s="12"/>
    </row>
    <row r="202" spans="1:7" ht="30" customHeight="1">
      <c r="A202" s="10">
        <v>199</v>
      </c>
      <c r="B202" s="11" t="str">
        <f>"544120230810110815123878"</f>
        <v>544120230810110815123878</v>
      </c>
      <c r="C202" s="11" t="str">
        <f t="shared" si="15"/>
        <v>0103</v>
      </c>
      <c r="D202" s="11" t="s">
        <v>11</v>
      </c>
      <c r="E202" s="11" t="str">
        <f>"张秋岱"</f>
        <v>张秋岱</v>
      </c>
      <c r="F202" s="11" t="str">
        <f t="shared" si="14"/>
        <v>女</v>
      </c>
      <c r="G202" s="12"/>
    </row>
    <row r="203" spans="1:7" ht="30" customHeight="1">
      <c r="A203" s="10">
        <v>200</v>
      </c>
      <c r="B203" s="11" t="str">
        <f>"544120230810095239123864"</f>
        <v>544120230810095239123864</v>
      </c>
      <c r="C203" s="11" t="str">
        <f t="shared" si="15"/>
        <v>0103</v>
      </c>
      <c r="D203" s="11" t="s">
        <v>11</v>
      </c>
      <c r="E203" s="11" t="str">
        <f>"韩晓明"</f>
        <v>韩晓明</v>
      </c>
      <c r="F203" s="11" t="str">
        <f t="shared" si="14"/>
        <v>女</v>
      </c>
      <c r="G203" s="12"/>
    </row>
    <row r="204" spans="1:7" ht="30" customHeight="1">
      <c r="A204" s="10">
        <v>201</v>
      </c>
      <c r="B204" s="11" t="str">
        <f>"544120230810091337123848"</f>
        <v>544120230810091337123848</v>
      </c>
      <c r="C204" s="11" t="str">
        <f t="shared" si="15"/>
        <v>0103</v>
      </c>
      <c r="D204" s="11" t="s">
        <v>11</v>
      </c>
      <c r="E204" s="11" t="str">
        <f>"陈芬"</f>
        <v>陈芬</v>
      </c>
      <c r="F204" s="11" t="str">
        <f t="shared" si="14"/>
        <v>女</v>
      </c>
      <c r="G204" s="12"/>
    </row>
    <row r="205" spans="1:7" ht="30" customHeight="1">
      <c r="A205" s="10">
        <v>202</v>
      </c>
      <c r="B205" s="11" t="str">
        <f>"544120230810123349123895"</f>
        <v>544120230810123349123895</v>
      </c>
      <c r="C205" s="11" t="str">
        <f t="shared" si="15"/>
        <v>0103</v>
      </c>
      <c r="D205" s="11" t="s">
        <v>11</v>
      </c>
      <c r="E205" s="11" t="str">
        <f>"王可晶"</f>
        <v>王可晶</v>
      </c>
      <c r="F205" s="11" t="str">
        <f t="shared" si="14"/>
        <v>女</v>
      </c>
      <c r="G205" s="12"/>
    </row>
    <row r="206" spans="1:7" ht="30" customHeight="1">
      <c r="A206" s="10">
        <v>203</v>
      </c>
      <c r="B206" s="11" t="str">
        <f>"544120230810114638123886"</f>
        <v>544120230810114638123886</v>
      </c>
      <c r="C206" s="11" t="str">
        <f t="shared" si="15"/>
        <v>0103</v>
      </c>
      <c r="D206" s="11" t="s">
        <v>11</v>
      </c>
      <c r="E206" s="11" t="str">
        <f>"郑玉娇"</f>
        <v>郑玉娇</v>
      </c>
      <c r="F206" s="11" t="str">
        <f t="shared" si="14"/>
        <v>女</v>
      </c>
      <c r="G206" s="12"/>
    </row>
    <row r="207" spans="1:7" ht="30" customHeight="1">
      <c r="A207" s="10">
        <v>204</v>
      </c>
      <c r="B207" s="11" t="str">
        <f>"544120230810122716123894"</f>
        <v>544120230810122716123894</v>
      </c>
      <c r="C207" s="11" t="str">
        <f t="shared" si="15"/>
        <v>0103</v>
      </c>
      <c r="D207" s="11" t="s">
        <v>11</v>
      </c>
      <c r="E207" s="11" t="str">
        <f>"王涛"</f>
        <v>王涛</v>
      </c>
      <c r="F207" s="11" t="str">
        <f>"男"</f>
        <v>男</v>
      </c>
      <c r="G207" s="12"/>
    </row>
    <row r="208" spans="1:7" ht="30" customHeight="1">
      <c r="A208" s="10">
        <v>205</v>
      </c>
      <c r="B208" s="11" t="str">
        <f>"544120230810142005123901"</f>
        <v>544120230810142005123901</v>
      </c>
      <c r="C208" s="11" t="str">
        <f t="shared" si="15"/>
        <v>0103</v>
      </c>
      <c r="D208" s="11" t="s">
        <v>11</v>
      </c>
      <c r="E208" s="11" t="str">
        <f>"赵超"</f>
        <v>赵超</v>
      </c>
      <c r="F208" s="11" t="str">
        <f aca="true" t="shared" si="16" ref="F208:F218">"女"</f>
        <v>女</v>
      </c>
      <c r="G208" s="12"/>
    </row>
    <row r="209" spans="1:7" ht="30" customHeight="1">
      <c r="A209" s="10">
        <v>206</v>
      </c>
      <c r="B209" s="11" t="str">
        <f>"544120230810154606123917"</f>
        <v>544120230810154606123917</v>
      </c>
      <c r="C209" s="11" t="str">
        <f t="shared" si="15"/>
        <v>0103</v>
      </c>
      <c r="D209" s="11" t="s">
        <v>11</v>
      </c>
      <c r="E209" s="11" t="str">
        <f>"林美婵"</f>
        <v>林美婵</v>
      </c>
      <c r="F209" s="11" t="str">
        <f t="shared" si="16"/>
        <v>女</v>
      </c>
      <c r="G209" s="12"/>
    </row>
    <row r="210" spans="1:7" ht="30" customHeight="1">
      <c r="A210" s="10">
        <v>207</v>
      </c>
      <c r="B210" s="11" t="str">
        <f>"544120230810161214123922"</f>
        <v>544120230810161214123922</v>
      </c>
      <c r="C210" s="11" t="str">
        <f t="shared" si="15"/>
        <v>0103</v>
      </c>
      <c r="D210" s="11" t="s">
        <v>11</v>
      </c>
      <c r="E210" s="11" t="str">
        <f>"符望"</f>
        <v>符望</v>
      </c>
      <c r="F210" s="11" t="str">
        <f t="shared" si="16"/>
        <v>女</v>
      </c>
      <c r="G210" s="12"/>
    </row>
    <row r="211" spans="1:7" ht="30" customHeight="1">
      <c r="A211" s="10">
        <v>208</v>
      </c>
      <c r="B211" s="11" t="str">
        <f>"544120230810144102123903"</f>
        <v>544120230810144102123903</v>
      </c>
      <c r="C211" s="11" t="str">
        <f t="shared" si="15"/>
        <v>0103</v>
      </c>
      <c r="D211" s="11" t="s">
        <v>11</v>
      </c>
      <c r="E211" s="11" t="str">
        <f>"王小丹"</f>
        <v>王小丹</v>
      </c>
      <c r="F211" s="11" t="str">
        <f t="shared" si="16"/>
        <v>女</v>
      </c>
      <c r="G211" s="12"/>
    </row>
    <row r="212" spans="1:7" ht="30" customHeight="1">
      <c r="A212" s="10">
        <v>209</v>
      </c>
      <c r="B212" s="11" t="str">
        <f>"544120230810154025123915"</f>
        <v>544120230810154025123915</v>
      </c>
      <c r="C212" s="11" t="str">
        <f t="shared" si="15"/>
        <v>0103</v>
      </c>
      <c r="D212" s="11" t="s">
        <v>11</v>
      </c>
      <c r="E212" s="11" t="str">
        <f>"吴心怡"</f>
        <v>吴心怡</v>
      </c>
      <c r="F212" s="11" t="str">
        <f t="shared" si="16"/>
        <v>女</v>
      </c>
      <c r="G212" s="12"/>
    </row>
    <row r="213" spans="1:7" ht="30" customHeight="1">
      <c r="A213" s="10">
        <v>210</v>
      </c>
      <c r="B213" s="11" t="str">
        <f>"544120230810163256123928"</f>
        <v>544120230810163256123928</v>
      </c>
      <c r="C213" s="11" t="str">
        <f t="shared" si="15"/>
        <v>0103</v>
      </c>
      <c r="D213" s="11" t="s">
        <v>11</v>
      </c>
      <c r="E213" s="11" t="str">
        <f>"王娇雪"</f>
        <v>王娇雪</v>
      </c>
      <c r="F213" s="11" t="str">
        <f t="shared" si="16"/>
        <v>女</v>
      </c>
      <c r="G213" s="12"/>
    </row>
    <row r="214" spans="1:7" ht="30" customHeight="1">
      <c r="A214" s="10">
        <v>211</v>
      </c>
      <c r="B214" s="11" t="str">
        <f>"544120230810164507123933"</f>
        <v>544120230810164507123933</v>
      </c>
      <c r="C214" s="11" t="str">
        <f t="shared" si="15"/>
        <v>0103</v>
      </c>
      <c r="D214" s="11" t="s">
        <v>11</v>
      </c>
      <c r="E214" s="11" t="str">
        <f>"吉雪花"</f>
        <v>吉雪花</v>
      </c>
      <c r="F214" s="11" t="str">
        <f t="shared" si="16"/>
        <v>女</v>
      </c>
      <c r="G214" s="12"/>
    </row>
    <row r="215" spans="1:7" ht="30" customHeight="1">
      <c r="A215" s="10">
        <v>212</v>
      </c>
      <c r="B215" s="11" t="str">
        <f>"544120230810162845123925"</f>
        <v>544120230810162845123925</v>
      </c>
      <c r="C215" s="11" t="str">
        <f t="shared" si="15"/>
        <v>0103</v>
      </c>
      <c r="D215" s="11" t="s">
        <v>11</v>
      </c>
      <c r="E215" s="11" t="str">
        <f>"王转姑"</f>
        <v>王转姑</v>
      </c>
      <c r="F215" s="11" t="str">
        <f t="shared" si="16"/>
        <v>女</v>
      </c>
      <c r="G215" s="12"/>
    </row>
    <row r="216" spans="1:7" ht="30" customHeight="1">
      <c r="A216" s="10">
        <v>213</v>
      </c>
      <c r="B216" s="11" t="str">
        <f>"544120230810185322123943"</f>
        <v>544120230810185322123943</v>
      </c>
      <c r="C216" s="11" t="str">
        <f t="shared" si="15"/>
        <v>0103</v>
      </c>
      <c r="D216" s="11" t="s">
        <v>11</v>
      </c>
      <c r="E216" s="11" t="str">
        <f>"吴其莊"</f>
        <v>吴其莊</v>
      </c>
      <c r="F216" s="11" t="str">
        <f t="shared" si="16"/>
        <v>女</v>
      </c>
      <c r="G216" s="12"/>
    </row>
    <row r="217" spans="1:7" ht="30" customHeight="1">
      <c r="A217" s="10">
        <v>214</v>
      </c>
      <c r="B217" s="11" t="str">
        <f>"544120230810190647123945"</f>
        <v>544120230810190647123945</v>
      </c>
      <c r="C217" s="11" t="str">
        <f t="shared" si="15"/>
        <v>0103</v>
      </c>
      <c r="D217" s="11" t="s">
        <v>11</v>
      </c>
      <c r="E217" s="11" t="str">
        <f>"王堂丹"</f>
        <v>王堂丹</v>
      </c>
      <c r="F217" s="11" t="str">
        <f t="shared" si="16"/>
        <v>女</v>
      </c>
      <c r="G217" s="12"/>
    </row>
    <row r="218" spans="1:7" ht="30" customHeight="1">
      <c r="A218" s="10">
        <v>215</v>
      </c>
      <c r="B218" s="11" t="str">
        <f>"544120230810194322123950"</f>
        <v>544120230810194322123950</v>
      </c>
      <c r="C218" s="11" t="str">
        <f t="shared" si="15"/>
        <v>0103</v>
      </c>
      <c r="D218" s="11" t="s">
        <v>11</v>
      </c>
      <c r="E218" s="11" t="str">
        <f>"李二女"</f>
        <v>李二女</v>
      </c>
      <c r="F218" s="11" t="str">
        <f t="shared" si="16"/>
        <v>女</v>
      </c>
      <c r="G218" s="12"/>
    </row>
    <row r="219" spans="1:7" ht="30" customHeight="1">
      <c r="A219" s="10">
        <v>216</v>
      </c>
      <c r="B219" s="11" t="str">
        <f>"544120230810194918123951"</f>
        <v>544120230810194918123951</v>
      </c>
      <c r="C219" s="11" t="str">
        <f t="shared" si="15"/>
        <v>0103</v>
      </c>
      <c r="D219" s="11" t="s">
        <v>11</v>
      </c>
      <c r="E219" s="11" t="str">
        <f>"林正轩"</f>
        <v>林正轩</v>
      </c>
      <c r="F219" s="11" t="str">
        <f>"男"</f>
        <v>男</v>
      </c>
      <c r="G219" s="12"/>
    </row>
    <row r="220" spans="1:7" ht="30" customHeight="1">
      <c r="A220" s="10">
        <v>217</v>
      </c>
      <c r="B220" s="11" t="str">
        <f>"544120230810210129123956"</f>
        <v>544120230810210129123956</v>
      </c>
      <c r="C220" s="11" t="str">
        <f t="shared" si="15"/>
        <v>0103</v>
      </c>
      <c r="D220" s="11" t="s">
        <v>11</v>
      </c>
      <c r="E220" s="11" t="str">
        <f>"李桂娟"</f>
        <v>李桂娟</v>
      </c>
      <c r="F220" s="11" t="str">
        <f>"女"</f>
        <v>女</v>
      </c>
      <c r="G220" s="12"/>
    </row>
    <row r="221" spans="1:7" ht="30" customHeight="1">
      <c r="A221" s="10">
        <v>218</v>
      </c>
      <c r="B221" s="11" t="str">
        <f>"544120230810203705123953"</f>
        <v>544120230810203705123953</v>
      </c>
      <c r="C221" s="11" t="str">
        <f t="shared" si="15"/>
        <v>0103</v>
      </c>
      <c r="D221" s="11" t="s">
        <v>11</v>
      </c>
      <c r="E221" s="11" t="str">
        <f>"曹玉双"</f>
        <v>曹玉双</v>
      </c>
      <c r="F221" s="11" t="str">
        <f>"女"</f>
        <v>女</v>
      </c>
      <c r="G221" s="12"/>
    </row>
    <row r="222" spans="1:7" ht="30" customHeight="1">
      <c r="A222" s="10">
        <v>219</v>
      </c>
      <c r="B222" s="11" t="str">
        <f>"544120230810224357123964"</f>
        <v>544120230810224357123964</v>
      </c>
      <c r="C222" s="11" t="str">
        <f t="shared" si="15"/>
        <v>0103</v>
      </c>
      <c r="D222" s="11" t="s">
        <v>11</v>
      </c>
      <c r="E222" s="11" t="str">
        <f>"周月桃"</f>
        <v>周月桃</v>
      </c>
      <c r="F222" s="11" t="str">
        <f>"女"</f>
        <v>女</v>
      </c>
      <c r="G222" s="12"/>
    </row>
    <row r="223" spans="1:7" ht="30" customHeight="1">
      <c r="A223" s="10">
        <v>220</v>
      </c>
      <c r="B223" s="11" t="str">
        <f>"544120230810224640123965"</f>
        <v>544120230810224640123965</v>
      </c>
      <c r="C223" s="11" t="str">
        <f t="shared" si="15"/>
        <v>0103</v>
      </c>
      <c r="D223" s="11" t="s">
        <v>11</v>
      </c>
      <c r="E223" s="11" t="str">
        <f>"孙荣雾"</f>
        <v>孙荣雾</v>
      </c>
      <c r="F223" s="11" t="str">
        <f>"女"</f>
        <v>女</v>
      </c>
      <c r="G223" s="12"/>
    </row>
    <row r="224" spans="1:7" ht="30" customHeight="1">
      <c r="A224" s="10">
        <v>221</v>
      </c>
      <c r="B224" s="11" t="str">
        <f>"544120230811082208123970"</f>
        <v>544120230811082208123970</v>
      </c>
      <c r="C224" s="11" t="str">
        <f t="shared" si="15"/>
        <v>0103</v>
      </c>
      <c r="D224" s="11" t="s">
        <v>11</v>
      </c>
      <c r="E224" s="11" t="str">
        <f>"李露"</f>
        <v>李露</v>
      </c>
      <c r="F224" s="11" t="str">
        <f>"女"</f>
        <v>女</v>
      </c>
      <c r="G224" s="12"/>
    </row>
    <row r="225" spans="1:7" ht="30" customHeight="1">
      <c r="A225" s="10">
        <v>222</v>
      </c>
      <c r="B225" s="11" t="str">
        <f>"544120230810095041123862"</f>
        <v>544120230810095041123862</v>
      </c>
      <c r="C225" s="11" t="str">
        <f t="shared" si="15"/>
        <v>0103</v>
      </c>
      <c r="D225" s="11" t="s">
        <v>11</v>
      </c>
      <c r="E225" s="11" t="str">
        <f>"郭绍远"</f>
        <v>郭绍远</v>
      </c>
      <c r="F225" s="11" t="str">
        <f>"男"</f>
        <v>男</v>
      </c>
      <c r="G225" s="12"/>
    </row>
    <row r="226" spans="1:7" ht="30" customHeight="1">
      <c r="A226" s="10">
        <v>223</v>
      </c>
      <c r="B226" s="11" t="str">
        <f>"544120230811090823123972"</f>
        <v>544120230811090823123972</v>
      </c>
      <c r="C226" s="11" t="str">
        <f t="shared" si="15"/>
        <v>0103</v>
      </c>
      <c r="D226" s="11" t="s">
        <v>11</v>
      </c>
      <c r="E226" s="11" t="str">
        <f>"王春霞"</f>
        <v>王春霞</v>
      </c>
      <c r="F226" s="11" t="str">
        <f aca="true" t="shared" si="17" ref="F226:F232">"女"</f>
        <v>女</v>
      </c>
      <c r="G226" s="12"/>
    </row>
    <row r="227" spans="1:7" ht="30" customHeight="1">
      <c r="A227" s="10">
        <v>224</v>
      </c>
      <c r="B227" s="11" t="str">
        <f>"544120230811092802123974"</f>
        <v>544120230811092802123974</v>
      </c>
      <c r="C227" s="11" t="str">
        <f t="shared" si="15"/>
        <v>0103</v>
      </c>
      <c r="D227" s="11" t="s">
        <v>11</v>
      </c>
      <c r="E227" s="11" t="str">
        <f>"张园铃"</f>
        <v>张园铃</v>
      </c>
      <c r="F227" s="11" t="str">
        <f t="shared" si="17"/>
        <v>女</v>
      </c>
      <c r="G227" s="12"/>
    </row>
    <row r="228" spans="1:7" ht="30" customHeight="1">
      <c r="A228" s="10">
        <v>225</v>
      </c>
      <c r="B228" s="11" t="str">
        <f>"544120230811095121123983"</f>
        <v>544120230811095121123983</v>
      </c>
      <c r="C228" s="11" t="str">
        <f t="shared" si="15"/>
        <v>0103</v>
      </c>
      <c r="D228" s="11" t="s">
        <v>11</v>
      </c>
      <c r="E228" s="11" t="str">
        <f>"俞思曼"</f>
        <v>俞思曼</v>
      </c>
      <c r="F228" s="11" t="str">
        <f t="shared" si="17"/>
        <v>女</v>
      </c>
      <c r="G228" s="12"/>
    </row>
    <row r="229" spans="1:7" ht="30" customHeight="1">
      <c r="A229" s="10">
        <v>226</v>
      </c>
      <c r="B229" s="11" t="str">
        <f>"544120230811102940123990"</f>
        <v>544120230811102940123990</v>
      </c>
      <c r="C229" s="11" t="str">
        <f t="shared" si="15"/>
        <v>0103</v>
      </c>
      <c r="D229" s="11" t="s">
        <v>11</v>
      </c>
      <c r="E229" s="11" t="str">
        <f>"吴秋颜"</f>
        <v>吴秋颜</v>
      </c>
      <c r="F229" s="11" t="str">
        <f t="shared" si="17"/>
        <v>女</v>
      </c>
      <c r="G229" s="12"/>
    </row>
    <row r="230" spans="1:7" ht="30" customHeight="1">
      <c r="A230" s="10">
        <v>227</v>
      </c>
      <c r="B230" s="11" t="str">
        <f>"544120230811105418123995"</f>
        <v>544120230811105418123995</v>
      </c>
      <c r="C230" s="11" t="str">
        <f t="shared" si="15"/>
        <v>0103</v>
      </c>
      <c r="D230" s="11" t="s">
        <v>11</v>
      </c>
      <c r="E230" s="11" t="str">
        <f>"林彩虹"</f>
        <v>林彩虹</v>
      </c>
      <c r="F230" s="11" t="str">
        <f t="shared" si="17"/>
        <v>女</v>
      </c>
      <c r="G230" s="12"/>
    </row>
    <row r="231" spans="1:7" ht="30" customHeight="1">
      <c r="A231" s="10">
        <v>228</v>
      </c>
      <c r="B231" s="11" t="str">
        <f>"544120230811095514123985"</f>
        <v>544120230811095514123985</v>
      </c>
      <c r="C231" s="11" t="str">
        <f t="shared" si="15"/>
        <v>0103</v>
      </c>
      <c r="D231" s="11" t="s">
        <v>11</v>
      </c>
      <c r="E231" s="11" t="str">
        <f>"冯娇雪"</f>
        <v>冯娇雪</v>
      </c>
      <c r="F231" s="11" t="str">
        <f t="shared" si="17"/>
        <v>女</v>
      </c>
      <c r="G231" s="12"/>
    </row>
    <row r="232" spans="1:7" ht="30" customHeight="1">
      <c r="A232" s="10">
        <v>229</v>
      </c>
      <c r="B232" s="11" t="str">
        <f>"544120230811105842123996"</f>
        <v>544120230811105842123996</v>
      </c>
      <c r="C232" s="11" t="str">
        <f t="shared" si="15"/>
        <v>0103</v>
      </c>
      <c r="D232" s="11" t="s">
        <v>11</v>
      </c>
      <c r="E232" s="11" t="str">
        <f>"陈兰玉"</f>
        <v>陈兰玉</v>
      </c>
      <c r="F232" s="11" t="str">
        <f t="shared" si="17"/>
        <v>女</v>
      </c>
      <c r="G232" s="12"/>
    </row>
    <row r="233" spans="1:7" ht="30" customHeight="1">
      <c r="A233" s="10">
        <v>230</v>
      </c>
      <c r="B233" s="11" t="str">
        <f>"544120230810114127123884"</f>
        <v>544120230810114127123884</v>
      </c>
      <c r="C233" s="11" t="str">
        <f t="shared" si="15"/>
        <v>0103</v>
      </c>
      <c r="D233" s="11" t="s">
        <v>11</v>
      </c>
      <c r="E233" s="11" t="str">
        <f>"王品熙"</f>
        <v>王品熙</v>
      </c>
      <c r="F233" s="11" t="str">
        <f>"男"</f>
        <v>男</v>
      </c>
      <c r="G233" s="12"/>
    </row>
    <row r="234" spans="1:7" ht="30" customHeight="1">
      <c r="A234" s="10">
        <v>231</v>
      </c>
      <c r="B234" s="11" t="str">
        <f>"544120230811143553124006"</f>
        <v>544120230811143553124006</v>
      </c>
      <c r="C234" s="11" t="str">
        <f t="shared" si="15"/>
        <v>0103</v>
      </c>
      <c r="D234" s="11" t="s">
        <v>11</v>
      </c>
      <c r="E234" s="11" t="str">
        <f>"罗浩"</f>
        <v>罗浩</v>
      </c>
      <c r="F234" s="11" t="str">
        <f>"男"</f>
        <v>男</v>
      </c>
      <c r="G234" s="12"/>
    </row>
    <row r="235" spans="1:7" ht="30" customHeight="1">
      <c r="A235" s="10">
        <v>232</v>
      </c>
      <c r="B235" s="11" t="str">
        <f>"544120230810163146123927"</f>
        <v>544120230810163146123927</v>
      </c>
      <c r="C235" s="11" t="str">
        <f t="shared" si="15"/>
        <v>0103</v>
      </c>
      <c r="D235" s="11" t="s">
        <v>11</v>
      </c>
      <c r="E235" s="11" t="str">
        <f>"岑婉仪"</f>
        <v>岑婉仪</v>
      </c>
      <c r="F235" s="11" t="str">
        <f>"女"</f>
        <v>女</v>
      </c>
      <c r="G235" s="12"/>
    </row>
    <row r="236" spans="1:7" ht="30" customHeight="1">
      <c r="A236" s="10">
        <v>233</v>
      </c>
      <c r="B236" s="11" t="str">
        <f>"544120230811111545123997"</f>
        <v>544120230811111545123997</v>
      </c>
      <c r="C236" s="11" t="str">
        <f t="shared" si="15"/>
        <v>0103</v>
      </c>
      <c r="D236" s="11" t="s">
        <v>11</v>
      </c>
      <c r="E236" s="11" t="str">
        <f>"张圆梦"</f>
        <v>张圆梦</v>
      </c>
      <c r="F236" s="11" t="str">
        <f>"女"</f>
        <v>女</v>
      </c>
      <c r="G236" s="12"/>
    </row>
    <row r="237" spans="1:7" ht="30" customHeight="1">
      <c r="A237" s="10">
        <v>234</v>
      </c>
      <c r="B237" s="11" t="str">
        <f>"544120230811165239124015"</f>
        <v>544120230811165239124015</v>
      </c>
      <c r="C237" s="11" t="str">
        <f t="shared" si="15"/>
        <v>0103</v>
      </c>
      <c r="D237" s="11" t="s">
        <v>11</v>
      </c>
      <c r="E237" s="11" t="str">
        <f>"包俊丽"</f>
        <v>包俊丽</v>
      </c>
      <c r="F237" s="11" t="str">
        <f>"女"</f>
        <v>女</v>
      </c>
      <c r="G237" s="12"/>
    </row>
    <row r="238" spans="1:7" ht="30" customHeight="1">
      <c r="A238" s="10">
        <v>235</v>
      </c>
      <c r="B238" s="11" t="str">
        <f>"544120230811172135124018"</f>
        <v>544120230811172135124018</v>
      </c>
      <c r="C238" s="11" t="str">
        <f t="shared" si="15"/>
        <v>0103</v>
      </c>
      <c r="D238" s="11" t="s">
        <v>11</v>
      </c>
      <c r="E238" s="11" t="str">
        <f>"符永康"</f>
        <v>符永康</v>
      </c>
      <c r="F238" s="11" t="str">
        <f>"男"</f>
        <v>男</v>
      </c>
      <c r="G238" s="12"/>
    </row>
    <row r="239" spans="1:7" ht="30" customHeight="1">
      <c r="A239" s="10">
        <v>236</v>
      </c>
      <c r="B239" s="11" t="str">
        <f>"544120230811184911124022"</f>
        <v>544120230811184911124022</v>
      </c>
      <c r="C239" s="11" t="str">
        <f t="shared" si="15"/>
        <v>0103</v>
      </c>
      <c r="D239" s="11" t="s">
        <v>11</v>
      </c>
      <c r="E239" s="11" t="str">
        <f>"陈杰"</f>
        <v>陈杰</v>
      </c>
      <c r="F239" s="11" t="str">
        <f>"男"</f>
        <v>男</v>
      </c>
      <c r="G239" s="12"/>
    </row>
    <row r="240" spans="1:7" ht="30" customHeight="1">
      <c r="A240" s="10">
        <v>237</v>
      </c>
      <c r="B240" s="11" t="str">
        <f>"544120230811201633124024"</f>
        <v>544120230811201633124024</v>
      </c>
      <c r="C240" s="11" t="str">
        <f t="shared" si="15"/>
        <v>0103</v>
      </c>
      <c r="D240" s="11" t="s">
        <v>11</v>
      </c>
      <c r="E240" s="11" t="str">
        <f>"张年俊"</f>
        <v>张年俊</v>
      </c>
      <c r="F240" s="11" t="str">
        <f>"男"</f>
        <v>男</v>
      </c>
      <c r="G240" s="12"/>
    </row>
    <row r="241" spans="1:7" ht="30" customHeight="1">
      <c r="A241" s="10">
        <v>238</v>
      </c>
      <c r="B241" s="11" t="str">
        <f>"544120230811203055124026"</f>
        <v>544120230811203055124026</v>
      </c>
      <c r="C241" s="11" t="str">
        <f t="shared" si="15"/>
        <v>0103</v>
      </c>
      <c r="D241" s="11" t="s">
        <v>11</v>
      </c>
      <c r="E241" s="11" t="str">
        <f>"关蒂莲"</f>
        <v>关蒂莲</v>
      </c>
      <c r="F241" s="11" t="str">
        <f>"女"</f>
        <v>女</v>
      </c>
      <c r="G241" s="12"/>
    </row>
    <row r="242" spans="1:7" ht="30" customHeight="1">
      <c r="A242" s="10">
        <v>239</v>
      </c>
      <c r="B242" s="11" t="str">
        <f>"544120230811112644123998"</f>
        <v>544120230811112644123998</v>
      </c>
      <c r="C242" s="11" t="str">
        <f t="shared" si="15"/>
        <v>0103</v>
      </c>
      <c r="D242" s="11" t="s">
        <v>11</v>
      </c>
      <c r="E242" s="11" t="str">
        <f>"符华艳"</f>
        <v>符华艳</v>
      </c>
      <c r="F242" s="11" t="str">
        <f>"女"</f>
        <v>女</v>
      </c>
      <c r="G242" s="12"/>
    </row>
    <row r="243" spans="1:7" ht="30" customHeight="1">
      <c r="A243" s="10">
        <v>240</v>
      </c>
      <c r="B243" s="11" t="str">
        <f>"544120230811205849124028"</f>
        <v>544120230811205849124028</v>
      </c>
      <c r="C243" s="11" t="str">
        <f t="shared" si="15"/>
        <v>0103</v>
      </c>
      <c r="D243" s="11" t="s">
        <v>11</v>
      </c>
      <c r="E243" s="11" t="str">
        <f>"罗宇"</f>
        <v>罗宇</v>
      </c>
      <c r="F243" s="11" t="str">
        <f>"男"</f>
        <v>男</v>
      </c>
      <c r="G243" s="12"/>
    </row>
    <row r="244" spans="1:7" ht="30" customHeight="1">
      <c r="A244" s="10">
        <v>241</v>
      </c>
      <c r="B244" s="11" t="str">
        <f>"544120230810231341123966"</f>
        <v>544120230810231341123966</v>
      </c>
      <c r="C244" s="11" t="str">
        <f t="shared" si="15"/>
        <v>0103</v>
      </c>
      <c r="D244" s="11" t="s">
        <v>11</v>
      </c>
      <c r="E244" s="11" t="str">
        <f>"黄琼莹"</f>
        <v>黄琼莹</v>
      </c>
      <c r="F244" s="11" t="str">
        <f>"女"</f>
        <v>女</v>
      </c>
      <c r="G244" s="12"/>
    </row>
    <row r="245" spans="1:7" ht="30" customHeight="1">
      <c r="A245" s="10">
        <v>242</v>
      </c>
      <c r="B245" s="11" t="str">
        <f>"544120230811220942124032"</f>
        <v>544120230811220942124032</v>
      </c>
      <c r="C245" s="11" t="str">
        <f t="shared" si="15"/>
        <v>0103</v>
      </c>
      <c r="D245" s="11" t="s">
        <v>11</v>
      </c>
      <c r="E245" s="11" t="str">
        <f>"董景"</f>
        <v>董景</v>
      </c>
      <c r="F245" s="11" t="str">
        <f>"女"</f>
        <v>女</v>
      </c>
      <c r="G245" s="12"/>
    </row>
    <row r="246" spans="1:7" ht="30" customHeight="1">
      <c r="A246" s="10">
        <v>243</v>
      </c>
      <c r="B246" s="11" t="str">
        <f>"544120230811225111124033"</f>
        <v>544120230811225111124033</v>
      </c>
      <c r="C246" s="11" t="str">
        <f t="shared" si="15"/>
        <v>0103</v>
      </c>
      <c r="D246" s="11" t="s">
        <v>11</v>
      </c>
      <c r="E246" s="11" t="str">
        <f>"张浩"</f>
        <v>张浩</v>
      </c>
      <c r="F246" s="11" t="str">
        <f>"男"</f>
        <v>男</v>
      </c>
      <c r="G246" s="12"/>
    </row>
    <row r="247" spans="1:7" ht="30" customHeight="1">
      <c r="A247" s="10">
        <v>244</v>
      </c>
      <c r="B247" s="11" t="str">
        <f>"544120230810094937123859"</f>
        <v>544120230810094937123859</v>
      </c>
      <c r="C247" s="11" t="str">
        <f t="shared" si="15"/>
        <v>0103</v>
      </c>
      <c r="D247" s="11" t="s">
        <v>11</v>
      </c>
      <c r="E247" s="11" t="str">
        <f>"韩谢英"</f>
        <v>韩谢英</v>
      </c>
      <c r="F247" s="11" t="str">
        <f aca="true" t="shared" si="18" ref="F247:F259">"女"</f>
        <v>女</v>
      </c>
      <c r="G247" s="12"/>
    </row>
    <row r="248" spans="1:7" ht="30" customHeight="1">
      <c r="A248" s="10">
        <v>245</v>
      </c>
      <c r="B248" s="11" t="str">
        <f>"544120230812102719124043"</f>
        <v>544120230812102719124043</v>
      </c>
      <c r="C248" s="11" t="str">
        <f t="shared" si="15"/>
        <v>0103</v>
      </c>
      <c r="D248" s="11" t="s">
        <v>11</v>
      </c>
      <c r="E248" s="11" t="str">
        <f>"李基娜"</f>
        <v>李基娜</v>
      </c>
      <c r="F248" s="11" t="str">
        <f t="shared" si="18"/>
        <v>女</v>
      </c>
      <c r="G248" s="12"/>
    </row>
    <row r="249" spans="1:7" ht="30" customHeight="1">
      <c r="A249" s="10">
        <v>246</v>
      </c>
      <c r="B249" s="11" t="str">
        <f>"544120230812110654124045"</f>
        <v>544120230812110654124045</v>
      </c>
      <c r="C249" s="11" t="str">
        <f t="shared" si="15"/>
        <v>0103</v>
      </c>
      <c r="D249" s="11" t="s">
        <v>11</v>
      </c>
      <c r="E249" s="11" t="str">
        <f>"范佳佳"</f>
        <v>范佳佳</v>
      </c>
      <c r="F249" s="11" t="str">
        <f t="shared" si="18"/>
        <v>女</v>
      </c>
      <c r="G249" s="12"/>
    </row>
    <row r="250" spans="1:7" ht="30" customHeight="1">
      <c r="A250" s="10">
        <v>247</v>
      </c>
      <c r="B250" s="11" t="str">
        <f>"544120230812102410124042"</f>
        <v>544120230812102410124042</v>
      </c>
      <c r="C250" s="11" t="str">
        <f t="shared" si="15"/>
        <v>0103</v>
      </c>
      <c r="D250" s="11" t="s">
        <v>11</v>
      </c>
      <c r="E250" s="11" t="str">
        <f>"何丽平"</f>
        <v>何丽平</v>
      </c>
      <c r="F250" s="11" t="str">
        <f t="shared" si="18"/>
        <v>女</v>
      </c>
      <c r="G250" s="12"/>
    </row>
    <row r="251" spans="1:7" ht="30" customHeight="1">
      <c r="A251" s="10">
        <v>248</v>
      </c>
      <c r="B251" s="11" t="str">
        <f>"544120230812121847124050"</f>
        <v>544120230812121847124050</v>
      </c>
      <c r="C251" s="11" t="str">
        <f t="shared" si="15"/>
        <v>0103</v>
      </c>
      <c r="D251" s="11" t="s">
        <v>11</v>
      </c>
      <c r="E251" s="11" t="str">
        <f>"蔡丰婷"</f>
        <v>蔡丰婷</v>
      </c>
      <c r="F251" s="11" t="str">
        <f t="shared" si="18"/>
        <v>女</v>
      </c>
      <c r="G251" s="12"/>
    </row>
    <row r="252" spans="1:7" ht="30" customHeight="1">
      <c r="A252" s="10">
        <v>249</v>
      </c>
      <c r="B252" s="11" t="str">
        <f>"544120230812122758124052"</f>
        <v>544120230812122758124052</v>
      </c>
      <c r="C252" s="11" t="str">
        <f t="shared" si="15"/>
        <v>0103</v>
      </c>
      <c r="D252" s="11" t="s">
        <v>11</v>
      </c>
      <c r="E252" s="11" t="str">
        <f>"符琬曼"</f>
        <v>符琬曼</v>
      </c>
      <c r="F252" s="11" t="str">
        <f t="shared" si="18"/>
        <v>女</v>
      </c>
      <c r="G252" s="12"/>
    </row>
    <row r="253" spans="1:7" ht="30" customHeight="1">
      <c r="A253" s="10">
        <v>250</v>
      </c>
      <c r="B253" s="11" t="str">
        <f>"544120230812123126124053"</f>
        <v>544120230812123126124053</v>
      </c>
      <c r="C253" s="11" t="str">
        <f t="shared" si="15"/>
        <v>0103</v>
      </c>
      <c r="D253" s="11" t="s">
        <v>11</v>
      </c>
      <c r="E253" s="11" t="str">
        <f>"陈丽"</f>
        <v>陈丽</v>
      </c>
      <c r="F253" s="11" t="str">
        <f t="shared" si="18"/>
        <v>女</v>
      </c>
      <c r="G253" s="12"/>
    </row>
    <row r="254" spans="1:7" ht="30" customHeight="1">
      <c r="A254" s="10">
        <v>251</v>
      </c>
      <c r="B254" s="11" t="str">
        <f>"544120230812124407124055"</f>
        <v>544120230812124407124055</v>
      </c>
      <c r="C254" s="11" t="str">
        <f t="shared" si="15"/>
        <v>0103</v>
      </c>
      <c r="D254" s="11" t="s">
        <v>11</v>
      </c>
      <c r="E254" s="11" t="str">
        <f>"龙雪莲"</f>
        <v>龙雪莲</v>
      </c>
      <c r="F254" s="11" t="str">
        <f t="shared" si="18"/>
        <v>女</v>
      </c>
      <c r="G254" s="12"/>
    </row>
    <row r="255" spans="1:7" ht="30" customHeight="1">
      <c r="A255" s="10">
        <v>252</v>
      </c>
      <c r="B255" s="11" t="str">
        <f>"544120230812165543124067"</f>
        <v>544120230812165543124067</v>
      </c>
      <c r="C255" s="11" t="str">
        <f t="shared" si="15"/>
        <v>0103</v>
      </c>
      <c r="D255" s="11" t="s">
        <v>11</v>
      </c>
      <c r="E255" s="11" t="str">
        <f>"李美霖"</f>
        <v>李美霖</v>
      </c>
      <c r="F255" s="11" t="str">
        <f t="shared" si="18"/>
        <v>女</v>
      </c>
      <c r="G255" s="12"/>
    </row>
    <row r="256" spans="1:7" ht="30" customHeight="1">
      <c r="A256" s="10">
        <v>253</v>
      </c>
      <c r="B256" s="11" t="str">
        <f>"544120230812173309124069"</f>
        <v>544120230812173309124069</v>
      </c>
      <c r="C256" s="11" t="str">
        <f aca="true" t="shared" si="19" ref="C256:C319">"0103"</f>
        <v>0103</v>
      </c>
      <c r="D256" s="11" t="s">
        <v>11</v>
      </c>
      <c r="E256" s="11" t="str">
        <f>"莫绣羽"</f>
        <v>莫绣羽</v>
      </c>
      <c r="F256" s="11" t="str">
        <f t="shared" si="18"/>
        <v>女</v>
      </c>
      <c r="G256" s="12"/>
    </row>
    <row r="257" spans="1:7" ht="30" customHeight="1">
      <c r="A257" s="10">
        <v>254</v>
      </c>
      <c r="B257" s="11" t="str">
        <f>"544120230812193242124073"</f>
        <v>544120230812193242124073</v>
      </c>
      <c r="C257" s="11" t="str">
        <f t="shared" si="19"/>
        <v>0103</v>
      </c>
      <c r="D257" s="11" t="s">
        <v>11</v>
      </c>
      <c r="E257" s="11" t="str">
        <f>"宁雪怡"</f>
        <v>宁雪怡</v>
      </c>
      <c r="F257" s="11" t="str">
        <f t="shared" si="18"/>
        <v>女</v>
      </c>
      <c r="G257" s="12"/>
    </row>
    <row r="258" spans="1:7" ht="30" customHeight="1">
      <c r="A258" s="10">
        <v>255</v>
      </c>
      <c r="B258" s="11" t="str">
        <f>"544120230812210444124076"</f>
        <v>544120230812210444124076</v>
      </c>
      <c r="C258" s="11" t="str">
        <f t="shared" si="19"/>
        <v>0103</v>
      </c>
      <c r="D258" s="11" t="s">
        <v>11</v>
      </c>
      <c r="E258" s="11" t="str">
        <f>"何冰月"</f>
        <v>何冰月</v>
      </c>
      <c r="F258" s="11" t="str">
        <f t="shared" si="18"/>
        <v>女</v>
      </c>
      <c r="G258" s="12"/>
    </row>
    <row r="259" spans="1:7" ht="30" customHeight="1">
      <c r="A259" s="10">
        <v>256</v>
      </c>
      <c r="B259" s="11" t="str">
        <f>"544120230812222524124083"</f>
        <v>544120230812222524124083</v>
      </c>
      <c r="C259" s="11" t="str">
        <f t="shared" si="19"/>
        <v>0103</v>
      </c>
      <c r="D259" s="11" t="s">
        <v>11</v>
      </c>
      <c r="E259" s="11" t="str">
        <f>"叶小云"</f>
        <v>叶小云</v>
      </c>
      <c r="F259" s="11" t="str">
        <f t="shared" si="18"/>
        <v>女</v>
      </c>
      <c r="G259" s="12"/>
    </row>
    <row r="260" spans="1:7" ht="30" customHeight="1">
      <c r="A260" s="10">
        <v>257</v>
      </c>
      <c r="B260" s="11" t="str">
        <f>"544120230813094114124086"</f>
        <v>544120230813094114124086</v>
      </c>
      <c r="C260" s="11" t="str">
        <f t="shared" si="19"/>
        <v>0103</v>
      </c>
      <c r="D260" s="11" t="s">
        <v>11</v>
      </c>
      <c r="E260" s="11" t="str">
        <f>"王开戌"</f>
        <v>王开戌</v>
      </c>
      <c r="F260" s="11" t="str">
        <f>"男"</f>
        <v>男</v>
      </c>
      <c r="G260" s="12"/>
    </row>
    <row r="261" spans="1:7" ht="30" customHeight="1">
      <c r="A261" s="10">
        <v>258</v>
      </c>
      <c r="B261" s="11" t="str">
        <f>"544120230813111206124088"</f>
        <v>544120230813111206124088</v>
      </c>
      <c r="C261" s="11" t="str">
        <f t="shared" si="19"/>
        <v>0103</v>
      </c>
      <c r="D261" s="11" t="s">
        <v>11</v>
      </c>
      <c r="E261" s="11" t="str">
        <f>"杜薇薇"</f>
        <v>杜薇薇</v>
      </c>
      <c r="F261" s="11" t="str">
        <f aca="true" t="shared" si="20" ref="F261:F268">"女"</f>
        <v>女</v>
      </c>
      <c r="G261" s="12"/>
    </row>
    <row r="262" spans="1:7" ht="30" customHeight="1">
      <c r="A262" s="10">
        <v>259</v>
      </c>
      <c r="B262" s="11" t="str">
        <f>"544120230813105313124087"</f>
        <v>544120230813105313124087</v>
      </c>
      <c r="C262" s="11" t="str">
        <f t="shared" si="19"/>
        <v>0103</v>
      </c>
      <c r="D262" s="11" t="s">
        <v>11</v>
      </c>
      <c r="E262" s="11" t="str">
        <f>"林桦彬"</f>
        <v>林桦彬</v>
      </c>
      <c r="F262" s="11" t="str">
        <f t="shared" si="20"/>
        <v>女</v>
      </c>
      <c r="G262" s="12"/>
    </row>
    <row r="263" spans="1:7" ht="30" customHeight="1">
      <c r="A263" s="10">
        <v>260</v>
      </c>
      <c r="B263" s="11" t="str">
        <f>"544120230813124701124090"</f>
        <v>544120230813124701124090</v>
      </c>
      <c r="C263" s="11" t="str">
        <f t="shared" si="19"/>
        <v>0103</v>
      </c>
      <c r="D263" s="11" t="s">
        <v>11</v>
      </c>
      <c r="E263" s="11" t="str">
        <f>"叶召琴"</f>
        <v>叶召琴</v>
      </c>
      <c r="F263" s="11" t="str">
        <f t="shared" si="20"/>
        <v>女</v>
      </c>
      <c r="G263" s="12"/>
    </row>
    <row r="264" spans="1:7" ht="30" customHeight="1">
      <c r="A264" s="10">
        <v>261</v>
      </c>
      <c r="B264" s="11" t="str">
        <f>"544120230813151502124094"</f>
        <v>544120230813151502124094</v>
      </c>
      <c r="C264" s="11" t="str">
        <f t="shared" si="19"/>
        <v>0103</v>
      </c>
      <c r="D264" s="11" t="s">
        <v>11</v>
      </c>
      <c r="E264" s="11" t="str">
        <f>"王来姑"</f>
        <v>王来姑</v>
      </c>
      <c r="F264" s="11" t="str">
        <f t="shared" si="20"/>
        <v>女</v>
      </c>
      <c r="G264" s="12"/>
    </row>
    <row r="265" spans="1:7" ht="30" customHeight="1">
      <c r="A265" s="10">
        <v>262</v>
      </c>
      <c r="B265" s="11" t="str">
        <f>"544120230813162924124096"</f>
        <v>544120230813162924124096</v>
      </c>
      <c r="C265" s="11" t="str">
        <f t="shared" si="19"/>
        <v>0103</v>
      </c>
      <c r="D265" s="11" t="s">
        <v>11</v>
      </c>
      <c r="E265" s="11" t="str">
        <f>"谢慧芬"</f>
        <v>谢慧芬</v>
      </c>
      <c r="F265" s="11" t="str">
        <f t="shared" si="20"/>
        <v>女</v>
      </c>
      <c r="G265" s="12"/>
    </row>
    <row r="266" spans="1:7" ht="30" customHeight="1">
      <c r="A266" s="10">
        <v>263</v>
      </c>
      <c r="B266" s="11" t="str">
        <f>"544120230813163507124097"</f>
        <v>544120230813163507124097</v>
      </c>
      <c r="C266" s="11" t="str">
        <f t="shared" si="19"/>
        <v>0103</v>
      </c>
      <c r="D266" s="11" t="s">
        <v>11</v>
      </c>
      <c r="E266" s="11" t="str">
        <f>"曹紫凌"</f>
        <v>曹紫凌</v>
      </c>
      <c r="F266" s="11" t="str">
        <f t="shared" si="20"/>
        <v>女</v>
      </c>
      <c r="G266" s="12"/>
    </row>
    <row r="267" spans="1:7" ht="30" customHeight="1">
      <c r="A267" s="10">
        <v>264</v>
      </c>
      <c r="B267" s="11" t="str">
        <f>"544120230813190343124100"</f>
        <v>544120230813190343124100</v>
      </c>
      <c r="C267" s="11" t="str">
        <f t="shared" si="19"/>
        <v>0103</v>
      </c>
      <c r="D267" s="11" t="s">
        <v>11</v>
      </c>
      <c r="E267" s="11" t="str">
        <f>"卢雪慧"</f>
        <v>卢雪慧</v>
      </c>
      <c r="F267" s="11" t="str">
        <f t="shared" si="20"/>
        <v>女</v>
      </c>
      <c r="G267" s="12"/>
    </row>
    <row r="268" spans="1:7" ht="30" customHeight="1">
      <c r="A268" s="10">
        <v>265</v>
      </c>
      <c r="B268" s="11" t="str">
        <f>"544120230813185331124099"</f>
        <v>544120230813185331124099</v>
      </c>
      <c r="C268" s="11" t="str">
        <f t="shared" si="19"/>
        <v>0103</v>
      </c>
      <c r="D268" s="11" t="s">
        <v>11</v>
      </c>
      <c r="E268" s="11" t="str">
        <f>"文嘉佳"</f>
        <v>文嘉佳</v>
      </c>
      <c r="F268" s="11" t="str">
        <f t="shared" si="20"/>
        <v>女</v>
      </c>
      <c r="G268" s="12"/>
    </row>
    <row r="269" spans="1:7" ht="30" customHeight="1">
      <c r="A269" s="10">
        <v>266</v>
      </c>
      <c r="B269" s="11" t="str">
        <f>"544120230813214347124105"</f>
        <v>544120230813214347124105</v>
      </c>
      <c r="C269" s="11" t="str">
        <f t="shared" si="19"/>
        <v>0103</v>
      </c>
      <c r="D269" s="11" t="s">
        <v>11</v>
      </c>
      <c r="E269" s="11" t="str">
        <f>"张祖凡"</f>
        <v>张祖凡</v>
      </c>
      <c r="F269" s="11" t="str">
        <f>"男"</f>
        <v>男</v>
      </c>
      <c r="G269" s="12"/>
    </row>
    <row r="270" spans="1:7" ht="30" customHeight="1">
      <c r="A270" s="10">
        <v>267</v>
      </c>
      <c r="B270" s="11" t="str">
        <f>"544120230810234747123968"</f>
        <v>544120230810234747123968</v>
      </c>
      <c r="C270" s="11" t="str">
        <f t="shared" si="19"/>
        <v>0103</v>
      </c>
      <c r="D270" s="11" t="s">
        <v>11</v>
      </c>
      <c r="E270" s="11" t="str">
        <f>"郭义舅"</f>
        <v>郭义舅</v>
      </c>
      <c r="F270" s="11" t="str">
        <f aca="true" t="shared" si="21" ref="F270:F286">"女"</f>
        <v>女</v>
      </c>
      <c r="G270" s="12"/>
    </row>
    <row r="271" spans="1:7" ht="30" customHeight="1">
      <c r="A271" s="10">
        <v>268</v>
      </c>
      <c r="B271" s="11" t="str">
        <f>"544120230814003251124111"</f>
        <v>544120230814003251124111</v>
      </c>
      <c r="C271" s="11" t="str">
        <f t="shared" si="19"/>
        <v>0103</v>
      </c>
      <c r="D271" s="11" t="s">
        <v>11</v>
      </c>
      <c r="E271" s="11" t="str">
        <f>"陈凡"</f>
        <v>陈凡</v>
      </c>
      <c r="F271" s="11" t="str">
        <f t="shared" si="21"/>
        <v>女</v>
      </c>
      <c r="G271" s="12"/>
    </row>
    <row r="272" spans="1:7" ht="30" customHeight="1">
      <c r="A272" s="10">
        <v>269</v>
      </c>
      <c r="B272" s="11" t="str">
        <f>"544120230811170948124017"</f>
        <v>544120230811170948124017</v>
      </c>
      <c r="C272" s="11" t="str">
        <f t="shared" si="19"/>
        <v>0103</v>
      </c>
      <c r="D272" s="11" t="s">
        <v>11</v>
      </c>
      <c r="E272" s="11" t="str">
        <f>"陈晓梦"</f>
        <v>陈晓梦</v>
      </c>
      <c r="F272" s="11" t="str">
        <f t="shared" si="21"/>
        <v>女</v>
      </c>
      <c r="G272" s="12"/>
    </row>
    <row r="273" spans="1:7" ht="30" customHeight="1">
      <c r="A273" s="10">
        <v>270</v>
      </c>
      <c r="B273" s="11" t="str">
        <f>"544120230814085919124116"</f>
        <v>544120230814085919124116</v>
      </c>
      <c r="C273" s="11" t="str">
        <f t="shared" si="19"/>
        <v>0103</v>
      </c>
      <c r="D273" s="11" t="s">
        <v>11</v>
      </c>
      <c r="E273" s="11" t="str">
        <f>"李真"</f>
        <v>李真</v>
      </c>
      <c r="F273" s="11" t="str">
        <f t="shared" si="21"/>
        <v>女</v>
      </c>
      <c r="G273" s="12"/>
    </row>
    <row r="274" spans="1:7" ht="30" customHeight="1">
      <c r="A274" s="10">
        <v>271</v>
      </c>
      <c r="B274" s="11" t="str">
        <f>"544120230813234651124109"</f>
        <v>544120230813234651124109</v>
      </c>
      <c r="C274" s="11" t="str">
        <f t="shared" si="19"/>
        <v>0103</v>
      </c>
      <c r="D274" s="11" t="s">
        <v>11</v>
      </c>
      <c r="E274" s="11" t="str">
        <f>"王薇"</f>
        <v>王薇</v>
      </c>
      <c r="F274" s="11" t="str">
        <f t="shared" si="21"/>
        <v>女</v>
      </c>
      <c r="G274" s="12"/>
    </row>
    <row r="275" spans="1:7" ht="30" customHeight="1">
      <c r="A275" s="10">
        <v>272</v>
      </c>
      <c r="B275" s="11" t="str">
        <f>"544120230811093512123975"</f>
        <v>544120230811093512123975</v>
      </c>
      <c r="C275" s="11" t="str">
        <f t="shared" si="19"/>
        <v>0103</v>
      </c>
      <c r="D275" s="11" t="s">
        <v>11</v>
      </c>
      <c r="E275" s="11" t="str">
        <f>"陈飞飞"</f>
        <v>陈飞飞</v>
      </c>
      <c r="F275" s="11" t="str">
        <f t="shared" si="21"/>
        <v>女</v>
      </c>
      <c r="G275" s="12"/>
    </row>
    <row r="276" spans="1:7" ht="30" customHeight="1">
      <c r="A276" s="10">
        <v>273</v>
      </c>
      <c r="B276" s="11" t="str">
        <f>"544120230814102621124122"</f>
        <v>544120230814102621124122</v>
      </c>
      <c r="C276" s="11" t="str">
        <f t="shared" si="19"/>
        <v>0103</v>
      </c>
      <c r="D276" s="11" t="s">
        <v>11</v>
      </c>
      <c r="E276" s="11" t="str">
        <f>"何慧怡"</f>
        <v>何慧怡</v>
      </c>
      <c r="F276" s="11" t="str">
        <f t="shared" si="21"/>
        <v>女</v>
      </c>
      <c r="G276" s="12"/>
    </row>
    <row r="277" spans="1:7" ht="30" customHeight="1">
      <c r="A277" s="10">
        <v>274</v>
      </c>
      <c r="B277" s="11" t="str">
        <f>"544120230814105708124127"</f>
        <v>544120230814105708124127</v>
      </c>
      <c r="C277" s="11" t="str">
        <f t="shared" si="19"/>
        <v>0103</v>
      </c>
      <c r="D277" s="11" t="s">
        <v>11</v>
      </c>
      <c r="E277" s="11" t="str">
        <f>"王献珏"</f>
        <v>王献珏</v>
      </c>
      <c r="F277" s="11" t="str">
        <f t="shared" si="21"/>
        <v>女</v>
      </c>
      <c r="G277" s="12"/>
    </row>
    <row r="278" spans="1:7" ht="30" customHeight="1">
      <c r="A278" s="10">
        <v>275</v>
      </c>
      <c r="B278" s="11" t="str">
        <f>"544120230814090926124117"</f>
        <v>544120230814090926124117</v>
      </c>
      <c r="C278" s="11" t="str">
        <f t="shared" si="19"/>
        <v>0103</v>
      </c>
      <c r="D278" s="11" t="s">
        <v>11</v>
      </c>
      <c r="E278" s="11" t="str">
        <f>"赵文雅"</f>
        <v>赵文雅</v>
      </c>
      <c r="F278" s="11" t="str">
        <f t="shared" si="21"/>
        <v>女</v>
      </c>
      <c r="G278" s="12"/>
    </row>
    <row r="279" spans="1:7" ht="30" customHeight="1">
      <c r="A279" s="10">
        <v>276</v>
      </c>
      <c r="B279" s="11" t="str">
        <f>"544120230814112335124130"</f>
        <v>544120230814112335124130</v>
      </c>
      <c r="C279" s="11" t="str">
        <f t="shared" si="19"/>
        <v>0103</v>
      </c>
      <c r="D279" s="11" t="s">
        <v>11</v>
      </c>
      <c r="E279" s="11" t="str">
        <f>"伍牡丹"</f>
        <v>伍牡丹</v>
      </c>
      <c r="F279" s="11" t="str">
        <f t="shared" si="21"/>
        <v>女</v>
      </c>
      <c r="G279" s="12"/>
    </row>
    <row r="280" spans="1:7" ht="30" customHeight="1">
      <c r="A280" s="10">
        <v>277</v>
      </c>
      <c r="B280" s="11" t="str">
        <f>"544120230812165500124066"</f>
        <v>544120230812165500124066</v>
      </c>
      <c r="C280" s="11" t="str">
        <f t="shared" si="19"/>
        <v>0103</v>
      </c>
      <c r="D280" s="11" t="s">
        <v>11</v>
      </c>
      <c r="E280" s="11" t="str">
        <f>"陈甜"</f>
        <v>陈甜</v>
      </c>
      <c r="F280" s="11" t="str">
        <f t="shared" si="21"/>
        <v>女</v>
      </c>
      <c r="G280" s="12"/>
    </row>
    <row r="281" spans="1:7" ht="30" customHeight="1">
      <c r="A281" s="10">
        <v>278</v>
      </c>
      <c r="B281" s="11" t="str">
        <f>"544120230814151915124140"</f>
        <v>544120230814151915124140</v>
      </c>
      <c r="C281" s="11" t="str">
        <f t="shared" si="19"/>
        <v>0103</v>
      </c>
      <c r="D281" s="11" t="s">
        <v>11</v>
      </c>
      <c r="E281" s="11" t="str">
        <f>"郑小凤"</f>
        <v>郑小凤</v>
      </c>
      <c r="F281" s="11" t="str">
        <f t="shared" si="21"/>
        <v>女</v>
      </c>
      <c r="G281" s="12"/>
    </row>
    <row r="282" spans="1:7" ht="30" customHeight="1">
      <c r="A282" s="10">
        <v>279</v>
      </c>
      <c r="B282" s="11" t="str">
        <f>"544120230814152955124142"</f>
        <v>544120230814152955124142</v>
      </c>
      <c r="C282" s="11" t="str">
        <f t="shared" si="19"/>
        <v>0103</v>
      </c>
      <c r="D282" s="11" t="s">
        <v>11</v>
      </c>
      <c r="E282" s="11" t="str">
        <f>"陈章叶"</f>
        <v>陈章叶</v>
      </c>
      <c r="F282" s="11" t="str">
        <f t="shared" si="21"/>
        <v>女</v>
      </c>
      <c r="G282" s="12"/>
    </row>
    <row r="283" spans="1:7" ht="30" customHeight="1">
      <c r="A283" s="10">
        <v>280</v>
      </c>
      <c r="B283" s="11" t="str">
        <f>"544120230814113015124133"</f>
        <v>544120230814113015124133</v>
      </c>
      <c r="C283" s="11" t="str">
        <f t="shared" si="19"/>
        <v>0103</v>
      </c>
      <c r="D283" s="11" t="s">
        <v>11</v>
      </c>
      <c r="E283" s="11" t="str">
        <f>"符怡漫"</f>
        <v>符怡漫</v>
      </c>
      <c r="F283" s="11" t="str">
        <f t="shared" si="21"/>
        <v>女</v>
      </c>
      <c r="G283" s="12"/>
    </row>
    <row r="284" spans="1:7" ht="30" customHeight="1">
      <c r="A284" s="10">
        <v>281</v>
      </c>
      <c r="B284" s="11" t="str">
        <f>"544120230810205131123954"</f>
        <v>544120230810205131123954</v>
      </c>
      <c r="C284" s="11" t="str">
        <f t="shared" si="19"/>
        <v>0103</v>
      </c>
      <c r="D284" s="11" t="s">
        <v>11</v>
      </c>
      <c r="E284" s="11" t="str">
        <f>"陈小迈"</f>
        <v>陈小迈</v>
      </c>
      <c r="F284" s="11" t="str">
        <f t="shared" si="21"/>
        <v>女</v>
      </c>
      <c r="G284" s="12"/>
    </row>
    <row r="285" spans="1:7" ht="30" customHeight="1">
      <c r="A285" s="10">
        <v>282</v>
      </c>
      <c r="B285" s="11" t="str">
        <f>"544120230814201622124151"</f>
        <v>544120230814201622124151</v>
      </c>
      <c r="C285" s="11" t="str">
        <f t="shared" si="19"/>
        <v>0103</v>
      </c>
      <c r="D285" s="11" t="s">
        <v>11</v>
      </c>
      <c r="E285" s="11" t="str">
        <f>"陈妍婷"</f>
        <v>陈妍婷</v>
      </c>
      <c r="F285" s="11" t="str">
        <f t="shared" si="21"/>
        <v>女</v>
      </c>
      <c r="G285" s="12"/>
    </row>
    <row r="286" spans="1:7" ht="30" customHeight="1">
      <c r="A286" s="10">
        <v>283</v>
      </c>
      <c r="B286" s="11" t="str">
        <f>"544120230814204249124153"</f>
        <v>544120230814204249124153</v>
      </c>
      <c r="C286" s="11" t="str">
        <f t="shared" si="19"/>
        <v>0103</v>
      </c>
      <c r="D286" s="11" t="s">
        <v>11</v>
      </c>
      <c r="E286" s="11" t="str">
        <f>"王雪媚"</f>
        <v>王雪媚</v>
      </c>
      <c r="F286" s="11" t="str">
        <f t="shared" si="21"/>
        <v>女</v>
      </c>
      <c r="G286" s="12"/>
    </row>
    <row r="287" spans="1:7" ht="30" customHeight="1">
      <c r="A287" s="10">
        <v>284</v>
      </c>
      <c r="B287" s="11" t="str">
        <f>"544120230814165242124146"</f>
        <v>544120230814165242124146</v>
      </c>
      <c r="C287" s="11" t="str">
        <f t="shared" si="19"/>
        <v>0103</v>
      </c>
      <c r="D287" s="11" t="s">
        <v>11</v>
      </c>
      <c r="E287" s="11" t="str">
        <f>"何润"</f>
        <v>何润</v>
      </c>
      <c r="F287" s="11" t="str">
        <f>"男"</f>
        <v>男</v>
      </c>
      <c r="G287" s="12"/>
    </row>
    <row r="288" spans="1:7" ht="30" customHeight="1">
      <c r="A288" s="10">
        <v>285</v>
      </c>
      <c r="B288" s="11" t="str">
        <f>"544120230812085923124040"</f>
        <v>544120230812085923124040</v>
      </c>
      <c r="C288" s="11" t="str">
        <f t="shared" si="19"/>
        <v>0103</v>
      </c>
      <c r="D288" s="11" t="s">
        <v>11</v>
      </c>
      <c r="E288" s="11" t="str">
        <f>"王海燕"</f>
        <v>王海燕</v>
      </c>
      <c r="F288" s="11" t="str">
        <f>"女"</f>
        <v>女</v>
      </c>
      <c r="G288" s="12"/>
    </row>
    <row r="289" spans="1:7" ht="30" customHeight="1">
      <c r="A289" s="10">
        <v>286</v>
      </c>
      <c r="B289" s="11" t="str">
        <f>"544120230815113118124176"</f>
        <v>544120230815113118124176</v>
      </c>
      <c r="C289" s="11" t="str">
        <f t="shared" si="19"/>
        <v>0103</v>
      </c>
      <c r="D289" s="11" t="s">
        <v>11</v>
      </c>
      <c r="E289" s="11" t="str">
        <f>"赵明珠"</f>
        <v>赵明珠</v>
      </c>
      <c r="F289" s="11" t="str">
        <f>"女"</f>
        <v>女</v>
      </c>
      <c r="G289" s="12"/>
    </row>
    <row r="290" spans="1:7" ht="30" customHeight="1">
      <c r="A290" s="10">
        <v>287</v>
      </c>
      <c r="B290" s="11" t="str">
        <f>"544120230811100603123986"</f>
        <v>544120230811100603123986</v>
      </c>
      <c r="C290" s="11" t="str">
        <f t="shared" si="19"/>
        <v>0103</v>
      </c>
      <c r="D290" s="11" t="s">
        <v>11</v>
      </c>
      <c r="E290" s="11" t="str">
        <f>"杨聪慧"</f>
        <v>杨聪慧</v>
      </c>
      <c r="F290" s="11" t="str">
        <f>"女"</f>
        <v>女</v>
      </c>
      <c r="G290" s="12"/>
    </row>
    <row r="291" spans="1:7" ht="30" customHeight="1">
      <c r="A291" s="10">
        <v>288</v>
      </c>
      <c r="B291" s="11" t="str">
        <f>"544120230814202327124152"</f>
        <v>544120230814202327124152</v>
      </c>
      <c r="C291" s="11" t="str">
        <f t="shared" si="19"/>
        <v>0103</v>
      </c>
      <c r="D291" s="11" t="s">
        <v>11</v>
      </c>
      <c r="E291" s="11" t="str">
        <f>"周小娜"</f>
        <v>周小娜</v>
      </c>
      <c r="F291" s="11" t="str">
        <f>"女"</f>
        <v>女</v>
      </c>
      <c r="G291" s="12"/>
    </row>
    <row r="292" spans="1:7" ht="30" customHeight="1">
      <c r="A292" s="10">
        <v>289</v>
      </c>
      <c r="B292" s="11" t="str">
        <f>"544120230815154301124181"</f>
        <v>544120230815154301124181</v>
      </c>
      <c r="C292" s="11" t="str">
        <f t="shared" si="19"/>
        <v>0103</v>
      </c>
      <c r="D292" s="11" t="s">
        <v>11</v>
      </c>
      <c r="E292" s="11" t="str">
        <f>"黄振平"</f>
        <v>黄振平</v>
      </c>
      <c r="F292" s="11" t="str">
        <f>"男"</f>
        <v>男</v>
      </c>
      <c r="G292" s="12"/>
    </row>
    <row r="293" spans="1:7" ht="30" customHeight="1">
      <c r="A293" s="10">
        <v>290</v>
      </c>
      <c r="B293" s="11" t="str">
        <f>"544120230815160620124182"</f>
        <v>544120230815160620124182</v>
      </c>
      <c r="C293" s="11" t="str">
        <f t="shared" si="19"/>
        <v>0103</v>
      </c>
      <c r="D293" s="11" t="s">
        <v>11</v>
      </c>
      <c r="E293" s="11" t="str">
        <f>"潘小静"</f>
        <v>潘小静</v>
      </c>
      <c r="F293" s="11" t="str">
        <f>"女"</f>
        <v>女</v>
      </c>
      <c r="G293" s="12"/>
    </row>
    <row r="294" spans="1:7" ht="30" customHeight="1">
      <c r="A294" s="10">
        <v>291</v>
      </c>
      <c r="B294" s="11" t="str">
        <f>"544120230815164937124184"</f>
        <v>544120230815164937124184</v>
      </c>
      <c r="C294" s="11" t="str">
        <f t="shared" si="19"/>
        <v>0103</v>
      </c>
      <c r="D294" s="11" t="s">
        <v>11</v>
      </c>
      <c r="E294" s="11" t="str">
        <f>"朱声泽"</f>
        <v>朱声泽</v>
      </c>
      <c r="F294" s="11" t="str">
        <f>"男"</f>
        <v>男</v>
      </c>
      <c r="G294" s="12"/>
    </row>
    <row r="295" spans="1:7" ht="30" customHeight="1">
      <c r="A295" s="10">
        <v>292</v>
      </c>
      <c r="B295" s="11" t="str">
        <f>"544120230814130812124134"</f>
        <v>544120230814130812124134</v>
      </c>
      <c r="C295" s="11" t="str">
        <f t="shared" si="19"/>
        <v>0103</v>
      </c>
      <c r="D295" s="11" t="s">
        <v>11</v>
      </c>
      <c r="E295" s="11" t="str">
        <f>"牛江涛"</f>
        <v>牛江涛</v>
      </c>
      <c r="F295" s="11" t="str">
        <f>"男"</f>
        <v>男</v>
      </c>
      <c r="G295" s="12"/>
    </row>
    <row r="296" spans="1:7" ht="30" customHeight="1">
      <c r="A296" s="10">
        <v>293</v>
      </c>
      <c r="B296" s="11" t="str">
        <f>"544120230815180110124186"</f>
        <v>544120230815180110124186</v>
      </c>
      <c r="C296" s="11" t="str">
        <f t="shared" si="19"/>
        <v>0103</v>
      </c>
      <c r="D296" s="11" t="s">
        <v>11</v>
      </c>
      <c r="E296" s="11" t="str">
        <f>"林欣"</f>
        <v>林欣</v>
      </c>
      <c r="F296" s="11" t="str">
        <f aca="true" t="shared" si="22" ref="F296:F303">"女"</f>
        <v>女</v>
      </c>
      <c r="G296" s="12"/>
    </row>
    <row r="297" spans="1:7" ht="30" customHeight="1">
      <c r="A297" s="10">
        <v>294</v>
      </c>
      <c r="B297" s="11" t="str">
        <f>"544120230815153429124180"</f>
        <v>544120230815153429124180</v>
      </c>
      <c r="C297" s="11" t="str">
        <f t="shared" si="19"/>
        <v>0103</v>
      </c>
      <c r="D297" s="11" t="s">
        <v>11</v>
      </c>
      <c r="E297" s="11" t="str">
        <f>"陈欣"</f>
        <v>陈欣</v>
      </c>
      <c r="F297" s="11" t="str">
        <f t="shared" si="22"/>
        <v>女</v>
      </c>
      <c r="G297" s="12"/>
    </row>
    <row r="298" spans="1:7" ht="30" customHeight="1">
      <c r="A298" s="10">
        <v>295</v>
      </c>
      <c r="B298" s="11" t="str">
        <f>"544120230815214511124193"</f>
        <v>544120230815214511124193</v>
      </c>
      <c r="C298" s="11" t="str">
        <f t="shared" si="19"/>
        <v>0103</v>
      </c>
      <c r="D298" s="11" t="s">
        <v>11</v>
      </c>
      <c r="E298" s="11" t="str">
        <f>"林天彩"</f>
        <v>林天彩</v>
      </c>
      <c r="F298" s="11" t="str">
        <f t="shared" si="22"/>
        <v>女</v>
      </c>
      <c r="G298" s="12"/>
    </row>
    <row r="299" spans="1:7" ht="30" customHeight="1">
      <c r="A299" s="10">
        <v>296</v>
      </c>
      <c r="B299" s="11" t="str">
        <f>"544120230816085224124200"</f>
        <v>544120230816085224124200</v>
      </c>
      <c r="C299" s="11" t="str">
        <f t="shared" si="19"/>
        <v>0103</v>
      </c>
      <c r="D299" s="11" t="s">
        <v>11</v>
      </c>
      <c r="E299" s="11" t="str">
        <f>"李若男"</f>
        <v>李若男</v>
      </c>
      <c r="F299" s="11" t="str">
        <f t="shared" si="22"/>
        <v>女</v>
      </c>
      <c r="G299" s="12"/>
    </row>
    <row r="300" spans="1:7" ht="30" customHeight="1">
      <c r="A300" s="10">
        <v>297</v>
      </c>
      <c r="B300" s="11" t="str">
        <f>"544120230816105434124207"</f>
        <v>544120230816105434124207</v>
      </c>
      <c r="C300" s="11" t="str">
        <f t="shared" si="19"/>
        <v>0103</v>
      </c>
      <c r="D300" s="11" t="s">
        <v>11</v>
      </c>
      <c r="E300" s="11" t="str">
        <f>"文聚玉"</f>
        <v>文聚玉</v>
      </c>
      <c r="F300" s="11" t="str">
        <f t="shared" si="22"/>
        <v>女</v>
      </c>
      <c r="G300" s="12"/>
    </row>
    <row r="301" spans="1:7" ht="30" customHeight="1">
      <c r="A301" s="10">
        <v>298</v>
      </c>
      <c r="B301" s="11" t="str">
        <f>"544120230815170640124185"</f>
        <v>544120230815170640124185</v>
      </c>
      <c r="C301" s="11" t="str">
        <f t="shared" si="19"/>
        <v>0103</v>
      </c>
      <c r="D301" s="11" t="s">
        <v>11</v>
      </c>
      <c r="E301" s="11" t="str">
        <f>"蓝慧琳"</f>
        <v>蓝慧琳</v>
      </c>
      <c r="F301" s="11" t="str">
        <f t="shared" si="22"/>
        <v>女</v>
      </c>
      <c r="G301" s="12"/>
    </row>
    <row r="302" spans="1:7" ht="30" customHeight="1">
      <c r="A302" s="10">
        <v>299</v>
      </c>
      <c r="B302" s="11" t="str">
        <f>"544120230816112619124211"</f>
        <v>544120230816112619124211</v>
      </c>
      <c r="C302" s="11" t="str">
        <f t="shared" si="19"/>
        <v>0103</v>
      </c>
      <c r="D302" s="11" t="s">
        <v>11</v>
      </c>
      <c r="E302" s="11" t="str">
        <f>"羊昆淑"</f>
        <v>羊昆淑</v>
      </c>
      <c r="F302" s="11" t="str">
        <f t="shared" si="22"/>
        <v>女</v>
      </c>
      <c r="G302" s="12"/>
    </row>
    <row r="303" spans="1:7" ht="30" customHeight="1">
      <c r="A303" s="10">
        <v>300</v>
      </c>
      <c r="B303" s="11" t="str">
        <f>"544120230816120213124213"</f>
        <v>544120230816120213124213</v>
      </c>
      <c r="C303" s="11" t="str">
        <f t="shared" si="19"/>
        <v>0103</v>
      </c>
      <c r="D303" s="11" t="s">
        <v>11</v>
      </c>
      <c r="E303" s="11" t="str">
        <f>"李莉"</f>
        <v>李莉</v>
      </c>
      <c r="F303" s="11" t="str">
        <f t="shared" si="22"/>
        <v>女</v>
      </c>
      <c r="G303" s="12"/>
    </row>
    <row r="304" spans="1:7" ht="30" customHeight="1">
      <c r="A304" s="10">
        <v>301</v>
      </c>
      <c r="B304" s="11" t="str">
        <f>"544120230814164635124145"</f>
        <v>544120230814164635124145</v>
      </c>
      <c r="C304" s="11" t="str">
        <f t="shared" si="19"/>
        <v>0103</v>
      </c>
      <c r="D304" s="11" t="s">
        <v>11</v>
      </c>
      <c r="E304" s="11" t="str">
        <f>"彭传倬"</f>
        <v>彭传倬</v>
      </c>
      <c r="F304" s="11" t="str">
        <f>"男"</f>
        <v>男</v>
      </c>
      <c r="G304" s="12"/>
    </row>
    <row r="305" spans="1:7" ht="30" customHeight="1">
      <c r="A305" s="10">
        <v>302</v>
      </c>
      <c r="B305" s="11" t="str">
        <f>"544120230816144304124218"</f>
        <v>544120230816144304124218</v>
      </c>
      <c r="C305" s="11" t="str">
        <f t="shared" si="19"/>
        <v>0103</v>
      </c>
      <c r="D305" s="11" t="s">
        <v>11</v>
      </c>
      <c r="E305" s="11" t="str">
        <f>"李欢"</f>
        <v>李欢</v>
      </c>
      <c r="F305" s="11" t="str">
        <f aca="true" t="shared" si="23" ref="F305:F310">"女"</f>
        <v>女</v>
      </c>
      <c r="G305" s="12"/>
    </row>
    <row r="306" spans="1:7" ht="30" customHeight="1">
      <c r="A306" s="10">
        <v>303</v>
      </c>
      <c r="B306" s="11" t="str">
        <f>"544120230816150725124222"</f>
        <v>544120230816150725124222</v>
      </c>
      <c r="C306" s="11" t="str">
        <f t="shared" si="19"/>
        <v>0103</v>
      </c>
      <c r="D306" s="11" t="s">
        <v>11</v>
      </c>
      <c r="E306" s="11" t="str">
        <f>"赵建敏"</f>
        <v>赵建敏</v>
      </c>
      <c r="F306" s="11" t="str">
        <f t="shared" si="23"/>
        <v>女</v>
      </c>
      <c r="G306" s="12"/>
    </row>
    <row r="307" spans="1:7" ht="30" customHeight="1">
      <c r="A307" s="10">
        <v>304</v>
      </c>
      <c r="B307" s="11" t="str">
        <f>"544120230816180206124228"</f>
        <v>544120230816180206124228</v>
      </c>
      <c r="C307" s="11" t="str">
        <f t="shared" si="19"/>
        <v>0103</v>
      </c>
      <c r="D307" s="11" t="s">
        <v>11</v>
      </c>
      <c r="E307" s="11" t="str">
        <f>"符夏虹"</f>
        <v>符夏虹</v>
      </c>
      <c r="F307" s="11" t="str">
        <f t="shared" si="23"/>
        <v>女</v>
      </c>
      <c r="G307" s="12"/>
    </row>
    <row r="308" spans="1:7" ht="30" customHeight="1">
      <c r="A308" s="10">
        <v>305</v>
      </c>
      <c r="B308" s="11" t="str">
        <f>"544120230815200947124190"</f>
        <v>544120230815200947124190</v>
      </c>
      <c r="C308" s="11" t="str">
        <f t="shared" si="19"/>
        <v>0103</v>
      </c>
      <c r="D308" s="11" t="s">
        <v>11</v>
      </c>
      <c r="E308" s="11" t="str">
        <f>"杨俊伟"</f>
        <v>杨俊伟</v>
      </c>
      <c r="F308" s="11" t="str">
        <f t="shared" si="23"/>
        <v>女</v>
      </c>
      <c r="G308" s="12"/>
    </row>
    <row r="309" spans="1:7" ht="30" customHeight="1">
      <c r="A309" s="10">
        <v>306</v>
      </c>
      <c r="B309" s="11" t="str">
        <f>"544120230816210633124232"</f>
        <v>544120230816210633124232</v>
      </c>
      <c r="C309" s="11" t="str">
        <f t="shared" si="19"/>
        <v>0103</v>
      </c>
      <c r="D309" s="11" t="s">
        <v>11</v>
      </c>
      <c r="E309" s="11" t="str">
        <f>"林春潮"</f>
        <v>林春潮</v>
      </c>
      <c r="F309" s="11" t="str">
        <f t="shared" si="23"/>
        <v>女</v>
      </c>
      <c r="G309" s="12"/>
    </row>
    <row r="310" spans="1:7" ht="30" customHeight="1">
      <c r="A310" s="10">
        <v>307</v>
      </c>
      <c r="B310" s="11" t="str">
        <f>"544120230816213543124235"</f>
        <v>544120230816213543124235</v>
      </c>
      <c r="C310" s="11" t="str">
        <f t="shared" si="19"/>
        <v>0103</v>
      </c>
      <c r="D310" s="11" t="s">
        <v>11</v>
      </c>
      <c r="E310" s="11" t="str">
        <f>"周春喜"</f>
        <v>周春喜</v>
      </c>
      <c r="F310" s="11" t="str">
        <f t="shared" si="23"/>
        <v>女</v>
      </c>
      <c r="G310" s="12"/>
    </row>
    <row r="311" spans="1:7" ht="30" customHeight="1">
      <c r="A311" s="10">
        <v>308</v>
      </c>
      <c r="B311" s="11" t="str">
        <f>"544120230816231024124237"</f>
        <v>544120230816231024124237</v>
      </c>
      <c r="C311" s="11" t="str">
        <f t="shared" si="19"/>
        <v>0103</v>
      </c>
      <c r="D311" s="11" t="s">
        <v>11</v>
      </c>
      <c r="E311" s="11" t="str">
        <f>"黄昌岷"</f>
        <v>黄昌岷</v>
      </c>
      <c r="F311" s="11" t="str">
        <f>"男"</f>
        <v>男</v>
      </c>
      <c r="G311" s="12"/>
    </row>
    <row r="312" spans="1:7" ht="30" customHeight="1">
      <c r="A312" s="10">
        <v>309</v>
      </c>
      <c r="B312" s="11" t="str">
        <f>"544120230816115450124212"</f>
        <v>544120230816115450124212</v>
      </c>
      <c r="C312" s="11" t="str">
        <f t="shared" si="19"/>
        <v>0103</v>
      </c>
      <c r="D312" s="11" t="s">
        <v>11</v>
      </c>
      <c r="E312" s="11" t="str">
        <f>"董乐平"</f>
        <v>董乐平</v>
      </c>
      <c r="F312" s="11" t="str">
        <f>"女"</f>
        <v>女</v>
      </c>
      <c r="G312" s="12"/>
    </row>
    <row r="313" spans="1:7" ht="30" customHeight="1">
      <c r="A313" s="10">
        <v>310</v>
      </c>
      <c r="B313" s="11" t="str">
        <f>"544120230816150237124220"</f>
        <v>544120230816150237124220</v>
      </c>
      <c r="C313" s="11" t="str">
        <f t="shared" si="19"/>
        <v>0103</v>
      </c>
      <c r="D313" s="11" t="s">
        <v>11</v>
      </c>
      <c r="E313" s="11" t="str">
        <f>"辛昌惠"</f>
        <v>辛昌惠</v>
      </c>
      <c r="F313" s="11" t="str">
        <f>"女"</f>
        <v>女</v>
      </c>
      <c r="G313" s="12"/>
    </row>
    <row r="314" spans="1:7" ht="30" customHeight="1">
      <c r="A314" s="10">
        <v>311</v>
      </c>
      <c r="B314" s="11" t="str">
        <f>"544120230817090628124239"</f>
        <v>544120230817090628124239</v>
      </c>
      <c r="C314" s="11" t="str">
        <f t="shared" si="19"/>
        <v>0103</v>
      </c>
      <c r="D314" s="11" t="s">
        <v>11</v>
      </c>
      <c r="E314" s="11" t="str">
        <f>"李杜哲"</f>
        <v>李杜哲</v>
      </c>
      <c r="F314" s="11" t="str">
        <f>"男"</f>
        <v>男</v>
      </c>
      <c r="G314" s="12"/>
    </row>
    <row r="315" spans="1:7" ht="30" customHeight="1">
      <c r="A315" s="10">
        <v>312</v>
      </c>
      <c r="B315" s="11" t="str">
        <f>"544120230817103510124244"</f>
        <v>544120230817103510124244</v>
      </c>
      <c r="C315" s="11" t="str">
        <f t="shared" si="19"/>
        <v>0103</v>
      </c>
      <c r="D315" s="11" t="s">
        <v>11</v>
      </c>
      <c r="E315" s="11" t="str">
        <f>"杨钰"</f>
        <v>杨钰</v>
      </c>
      <c r="F315" s="11" t="str">
        <f aca="true" t="shared" si="24" ref="F315:F320">"女"</f>
        <v>女</v>
      </c>
      <c r="G315" s="12"/>
    </row>
    <row r="316" spans="1:7" ht="30" customHeight="1">
      <c r="A316" s="10">
        <v>313</v>
      </c>
      <c r="B316" s="11" t="str">
        <f>"544120230817114155124248"</f>
        <v>544120230817114155124248</v>
      </c>
      <c r="C316" s="11" t="str">
        <f t="shared" si="19"/>
        <v>0103</v>
      </c>
      <c r="D316" s="11" t="s">
        <v>11</v>
      </c>
      <c r="E316" s="11" t="str">
        <f>"吴美婷"</f>
        <v>吴美婷</v>
      </c>
      <c r="F316" s="11" t="str">
        <f t="shared" si="24"/>
        <v>女</v>
      </c>
      <c r="G316" s="12"/>
    </row>
    <row r="317" spans="1:7" ht="30" customHeight="1">
      <c r="A317" s="10">
        <v>314</v>
      </c>
      <c r="B317" s="11" t="str">
        <f>"544120230817125216124249"</f>
        <v>544120230817125216124249</v>
      </c>
      <c r="C317" s="11" t="str">
        <f t="shared" si="19"/>
        <v>0103</v>
      </c>
      <c r="D317" s="11" t="s">
        <v>11</v>
      </c>
      <c r="E317" s="11" t="str">
        <f>"王婷婷"</f>
        <v>王婷婷</v>
      </c>
      <c r="F317" s="11" t="str">
        <f t="shared" si="24"/>
        <v>女</v>
      </c>
      <c r="G317" s="12"/>
    </row>
    <row r="318" spans="1:7" ht="30" customHeight="1">
      <c r="A318" s="10">
        <v>315</v>
      </c>
      <c r="B318" s="11" t="str">
        <f>"544120230816160734124223"</f>
        <v>544120230816160734124223</v>
      </c>
      <c r="C318" s="11" t="str">
        <f t="shared" si="19"/>
        <v>0103</v>
      </c>
      <c r="D318" s="11" t="s">
        <v>11</v>
      </c>
      <c r="E318" s="11" t="str">
        <f>"吴颖"</f>
        <v>吴颖</v>
      </c>
      <c r="F318" s="11" t="str">
        <f t="shared" si="24"/>
        <v>女</v>
      </c>
      <c r="G318" s="12"/>
    </row>
    <row r="319" spans="1:7" ht="30" customHeight="1">
      <c r="A319" s="10">
        <v>316</v>
      </c>
      <c r="B319" s="11" t="str">
        <f>"544120230817150300124254"</f>
        <v>544120230817150300124254</v>
      </c>
      <c r="C319" s="11" t="str">
        <f t="shared" si="19"/>
        <v>0103</v>
      </c>
      <c r="D319" s="11" t="s">
        <v>11</v>
      </c>
      <c r="E319" s="11" t="str">
        <f>"王小金"</f>
        <v>王小金</v>
      </c>
      <c r="F319" s="11" t="str">
        <f t="shared" si="24"/>
        <v>女</v>
      </c>
      <c r="G319" s="12"/>
    </row>
    <row r="320" spans="1:7" ht="30" customHeight="1">
      <c r="A320" s="10">
        <v>317</v>
      </c>
      <c r="B320" s="11" t="str">
        <f>"544120230817160547124255"</f>
        <v>544120230817160547124255</v>
      </c>
      <c r="C320" s="11" t="str">
        <f aca="true" t="shared" si="25" ref="C320:C383">"0103"</f>
        <v>0103</v>
      </c>
      <c r="D320" s="11" t="s">
        <v>11</v>
      </c>
      <c r="E320" s="11" t="str">
        <f>"林佳萍"</f>
        <v>林佳萍</v>
      </c>
      <c r="F320" s="11" t="str">
        <f t="shared" si="24"/>
        <v>女</v>
      </c>
      <c r="G320" s="12"/>
    </row>
    <row r="321" spans="1:7" ht="30" customHeight="1">
      <c r="A321" s="10">
        <v>318</v>
      </c>
      <c r="B321" s="11" t="str">
        <f>"544120230816142232124217"</f>
        <v>544120230816142232124217</v>
      </c>
      <c r="C321" s="11" t="str">
        <f t="shared" si="25"/>
        <v>0103</v>
      </c>
      <c r="D321" s="11" t="s">
        <v>11</v>
      </c>
      <c r="E321" s="11" t="str">
        <f>"梁森"</f>
        <v>梁森</v>
      </c>
      <c r="F321" s="11" t="str">
        <f>"男"</f>
        <v>男</v>
      </c>
      <c r="G321" s="12"/>
    </row>
    <row r="322" spans="1:7" ht="30" customHeight="1">
      <c r="A322" s="10">
        <v>319</v>
      </c>
      <c r="B322" s="11" t="str">
        <f>"544120230816181342124229"</f>
        <v>544120230816181342124229</v>
      </c>
      <c r="C322" s="11" t="str">
        <f t="shared" si="25"/>
        <v>0103</v>
      </c>
      <c r="D322" s="11" t="s">
        <v>11</v>
      </c>
      <c r="E322" s="11" t="str">
        <f>"邱帅"</f>
        <v>邱帅</v>
      </c>
      <c r="F322" s="11" t="str">
        <f>"男"</f>
        <v>男</v>
      </c>
      <c r="G322" s="12"/>
    </row>
    <row r="323" spans="1:7" ht="30" customHeight="1">
      <c r="A323" s="10">
        <v>320</v>
      </c>
      <c r="B323" s="11" t="str">
        <f>"544120230817183435124257"</f>
        <v>544120230817183435124257</v>
      </c>
      <c r="C323" s="11" t="str">
        <f t="shared" si="25"/>
        <v>0103</v>
      </c>
      <c r="D323" s="11" t="s">
        <v>11</v>
      </c>
      <c r="E323" s="11" t="str">
        <f>"杨柳"</f>
        <v>杨柳</v>
      </c>
      <c r="F323" s="11" t="str">
        <f>"女"</f>
        <v>女</v>
      </c>
      <c r="G323" s="12"/>
    </row>
    <row r="324" spans="1:7" ht="30" customHeight="1">
      <c r="A324" s="10">
        <v>321</v>
      </c>
      <c r="B324" s="11" t="str">
        <f>"544120230817201016124258"</f>
        <v>544120230817201016124258</v>
      </c>
      <c r="C324" s="11" t="str">
        <f t="shared" si="25"/>
        <v>0103</v>
      </c>
      <c r="D324" s="11" t="s">
        <v>11</v>
      </c>
      <c r="E324" s="11" t="str">
        <f>"沈豪博"</f>
        <v>沈豪博</v>
      </c>
      <c r="F324" s="11" t="str">
        <f>"男"</f>
        <v>男</v>
      </c>
      <c r="G324" s="12"/>
    </row>
    <row r="325" spans="1:7" ht="30" customHeight="1">
      <c r="A325" s="10">
        <v>322</v>
      </c>
      <c r="B325" s="11" t="str">
        <f>"544120230817204111124259"</f>
        <v>544120230817204111124259</v>
      </c>
      <c r="C325" s="11" t="str">
        <f t="shared" si="25"/>
        <v>0103</v>
      </c>
      <c r="D325" s="11" t="s">
        <v>11</v>
      </c>
      <c r="E325" s="11" t="str">
        <f>"王婷"</f>
        <v>王婷</v>
      </c>
      <c r="F325" s="11" t="str">
        <f>"女"</f>
        <v>女</v>
      </c>
      <c r="G325" s="12"/>
    </row>
    <row r="326" spans="1:7" ht="30" customHeight="1">
      <c r="A326" s="10">
        <v>323</v>
      </c>
      <c r="B326" s="11" t="str">
        <f>"544120230818100908124268"</f>
        <v>544120230818100908124268</v>
      </c>
      <c r="C326" s="11" t="str">
        <f t="shared" si="25"/>
        <v>0103</v>
      </c>
      <c r="D326" s="11" t="s">
        <v>11</v>
      </c>
      <c r="E326" s="11" t="str">
        <f>"颜妹燕"</f>
        <v>颜妹燕</v>
      </c>
      <c r="F326" s="11" t="str">
        <f>"女"</f>
        <v>女</v>
      </c>
      <c r="G326" s="12"/>
    </row>
    <row r="327" spans="1:7" ht="30" customHeight="1">
      <c r="A327" s="10">
        <v>324</v>
      </c>
      <c r="B327" s="11" t="str">
        <f>"544120230816110015124208"</f>
        <v>544120230816110015124208</v>
      </c>
      <c r="C327" s="11" t="str">
        <f t="shared" si="25"/>
        <v>0103</v>
      </c>
      <c r="D327" s="11" t="s">
        <v>11</v>
      </c>
      <c r="E327" s="11" t="str">
        <f>"符慧娴"</f>
        <v>符慧娴</v>
      </c>
      <c r="F327" s="11" t="str">
        <f>"女"</f>
        <v>女</v>
      </c>
      <c r="G327" s="12"/>
    </row>
    <row r="328" spans="1:7" ht="30" customHeight="1">
      <c r="A328" s="10">
        <v>325</v>
      </c>
      <c r="B328" s="11" t="str">
        <f>"544120230818090505124265"</f>
        <v>544120230818090505124265</v>
      </c>
      <c r="C328" s="11" t="str">
        <f t="shared" si="25"/>
        <v>0103</v>
      </c>
      <c r="D328" s="11" t="s">
        <v>11</v>
      </c>
      <c r="E328" s="11" t="str">
        <f>"孙钦碧"</f>
        <v>孙钦碧</v>
      </c>
      <c r="F328" s="11" t="str">
        <f>"男"</f>
        <v>男</v>
      </c>
      <c r="G328" s="12"/>
    </row>
    <row r="329" spans="1:7" ht="30" customHeight="1">
      <c r="A329" s="10">
        <v>326</v>
      </c>
      <c r="B329" s="11" t="str">
        <f>"544120230818115257124269"</f>
        <v>544120230818115257124269</v>
      </c>
      <c r="C329" s="11" t="str">
        <f t="shared" si="25"/>
        <v>0103</v>
      </c>
      <c r="D329" s="11" t="s">
        <v>11</v>
      </c>
      <c r="E329" s="11" t="str">
        <f>"羊贵花"</f>
        <v>羊贵花</v>
      </c>
      <c r="F329" s="11" t="str">
        <f aca="true" t="shared" si="26" ref="F329:F336">"女"</f>
        <v>女</v>
      </c>
      <c r="G329" s="12"/>
    </row>
    <row r="330" spans="1:7" ht="30" customHeight="1">
      <c r="A330" s="10">
        <v>327</v>
      </c>
      <c r="B330" s="11" t="str">
        <f>"544120230818152237124274"</f>
        <v>544120230818152237124274</v>
      </c>
      <c r="C330" s="11" t="str">
        <f t="shared" si="25"/>
        <v>0103</v>
      </c>
      <c r="D330" s="11" t="s">
        <v>11</v>
      </c>
      <c r="E330" s="11" t="str">
        <f>"徐木交"</f>
        <v>徐木交</v>
      </c>
      <c r="F330" s="11" t="str">
        <f t="shared" si="26"/>
        <v>女</v>
      </c>
      <c r="G330" s="12"/>
    </row>
    <row r="331" spans="1:7" ht="30" customHeight="1">
      <c r="A331" s="10">
        <v>328</v>
      </c>
      <c r="B331" s="11" t="str">
        <f>"544120230818161509124276"</f>
        <v>544120230818161509124276</v>
      </c>
      <c r="C331" s="11" t="str">
        <f t="shared" si="25"/>
        <v>0103</v>
      </c>
      <c r="D331" s="11" t="s">
        <v>11</v>
      </c>
      <c r="E331" s="11" t="str">
        <f>"韦丽琼"</f>
        <v>韦丽琼</v>
      </c>
      <c r="F331" s="11" t="str">
        <f t="shared" si="26"/>
        <v>女</v>
      </c>
      <c r="G331" s="12"/>
    </row>
    <row r="332" spans="1:7" ht="30" customHeight="1">
      <c r="A332" s="10">
        <v>329</v>
      </c>
      <c r="B332" s="11" t="str">
        <f>"544120230818171117124278"</f>
        <v>544120230818171117124278</v>
      </c>
      <c r="C332" s="11" t="str">
        <f t="shared" si="25"/>
        <v>0103</v>
      </c>
      <c r="D332" s="11" t="s">
        <v>11</v>
      </c>
      <c r="E332" s="11" t="str">
        <f>"杨小雪"</f>
        <v>杨小雪</v>
      </c>
      <c r="F332" s="11" t="str">
        <f t="shared" si="26"/>
        <v>女</v>
      </c>
      <c r="G332" s="12"/>
    </row>
    <row r="333" spans="1:7" ht="30" customHeight="1">
      <c r="A333" s="10">
        <v>330</v>
      </c>
      <c r="B333" s="11" t="str">
        <f>"544120230818174540124279"</f>
        <v>544120230818174540124279</v>
      </c>
      <c r="C333" s="11" t="str">
        <f t="shared" si="25"/>
        <v>0103</v>
      </c>
      <c r="D333" s="11" t="s">
        <v>11</v>
      </c>
      <c r="E333" s="11" t="str">
        <f>"黄海静"</f>
        <v>黄海静</v>
      </c>
      <c r="F333" s="11" t="str">
        <f t="shared" si="26"/>
        <v>女</v>
      </c>
      <c r="G333" s="12"/>
    </row>
    <row r="334" spans="1:7" ht="30" customHeight="1">
      <c r="A334" s="10">
        <v>331</v>
      </c>
      <c r="B334" s="11" t="str">
        <f>"544120230818215820124284"</f>
        <v>544120230818215820124284</v>
      </c>
      <c r="C334" s="11" t="str">
        <f t="shared" si="25"/>
        <v>0103</v>
      </c>
      <c r="D334" s="11" t="s">
        <v>11</v>
      </c>
      <c r="E334" s="11" t="str">
        <f>"黄廷嫩"</f>
        <v>黄廷嫩</v>
      </c>
      <c r="F334" s="11" t="str">
        <f t="shared" si="26"/>
        <v>女</v>
      </c>
      <c r="G334" s="12"/>
    </row>
    <row r="335" spans="1:7" ht="30" customHeight="1">
      <c r="A335" s="10">
        <v>332</v>
      </c>
      <c r="B335" s="11" t="str">
        <f>"544120230818220907124285"</f>
        <v>544120230818220907124285</v>
      </c>
      <c r="C335" s="11" t="str">
        <f t="shared" si="25"/>
        <v>0103</v>
      </c>
      <c r="D335" s="11" t="s">
        <v>11</v>
      </c>
      <c r="E335" s="11" t="str">
        <f>"黎晓洁"</f>
        <v>黎晓洁</v>
      </c>
      <c r="F335" s="11" t="str">
        <f t="shared" si="26"/>
        <v>女</v>
      </c>
      <c r="G335" s="12"/>
    </row>
    <row r="336" spans="1:7" ht="30" customHeight="1">
      <c r="A336" s="10">
        <v>333</v>
      </c>
      <c r="B336" s="11" t="str">
        <f>"544120230814002707124110"</f>
        <v>544120230814002707124110</v>
      </c>
      <c r="C336" s="11" t="str">
        <f t="shared" si="25"/>
        <v>0103</v>
      </c>
      <c r="D336" s="11" t="s">
        <v>11</v>
      </c>
      <c r="E336" s="11" t="str">
        <f>"陈月秋"</f>
        <v>陈月秋</v>
      </c>
      <c r="F336" s="11" t="str">
        <f t="shared" si="26"/>
        <v>女</v>
      </c>
      <c r="G336" s="12"/>
    </row>
    <row r="337" spans="1:7" ht="30" customHeight="1">
      <c r="A337" s="10">
        <v>334</v>
      </c>
      <c r="B337" s="11" t="str">
        <f>"544120230819145350124286"</f>
        <v>544120230819145350124286</v>
      </c>
      <c r="C337" s="11" t="str">
        <f t="shared" si="25"/>
        <v>0103</v>
      </c>
      <c r="D337" s="11" t="s">
        <v>11</v>
      </c>
      <c r="E337" s="11" t="str">
        <f>"王善健"</f>
        <v>王善健</v>
      </c>
      <c r="F337" s="11" t="str">
        <f>"男"</f>
        <v>男</v>
      </c>
      <c r="G337" s="12"/>
    </row>
    <row r="338" spans="1:7" ht="30" customHeight="1">
      <c r="A338" s="10">
        <v>335</v>
      </c>
      <c r="B338" s="11" t="str">
        <f>"544120230819230654124292"</f>
        <v>544120230819230654124292</v>
      </c>
      <c r="C338" s="11" t="str">
        <f t="shared" si="25"/>
        <v>0103</v>
      </c>
      <c r="D338" s="11" t="s">
        <v>11</v>
      </c>
      <c r="E338" s="11" t="str">
        <f>"祁庆"</f>
        <v>祁庆</v>
      </c>
      <c r="F338" s="11" t="str">
        <f aca="true" t="shared" si="27" ref="F338:F350">"女"</f>
        <v>女</v>
      </c>
      <c r="G338" s="12"/>
    </row>
    <row r="339" spans="1:7" ht="30" customHeight="1">
      <c r="A339" s="10">
        <v>336</v>
      </c>
      <c r="B339" s="11" t="str">
        <f>"544120230820105218124294"</f>
        <v>544120230820105218124294</v>
      </c>
      <c r="C339" s="11" t="str">
        <f t="shared" si="25"/>
        <v>0103</v>
      </c>
      <c r="D339" s="11" t="s">
        <v>11</v>
      </c>
      <c r="E339" s="11" t="str">
        <f>"王洁"</f>
        <v>王洁</v>
      </c>
      <c r="F339" s="11" t="str">
        <f t="shared" si="27"/>
        <v>女</v>
      </c>
      <c r="G339" s="12"/>
    </row>
    <row r="340" spans="1:7" ht="30" customHeight="1">
      <c r="A340" s="10">
        <v>337</v>
      </c>
      <c r="B340" s="11" t="str">
        <f>"544120230820192230124300"</f>
        <v>544120230820192230124300</v>
      </c>
      <c r="C340" s="11" t="str">
        <f t="shared" si="25"/>
        <v>0103</v>
      </c>
      <c r="D340" s="11" t="s">
        <v>11</v>
      </c>
      <c r="E340" s="11" t="str">
        <f>"陈芳"</f>
        <v>陈芳</v>
      </c>
      <c r="F340" s="11" t="str">
        <f t="shared" si="27"/>
        <v>女</v>
      </c>
      <c r="G340" s="12"/>
    </row>
    <row r="341" spans="1:7" ht="30" customHeight="1">
      <c r="A341" s="10">
        <v>338</v>
      </c>
      <c r="B341" s="11" t="str">
        <f>"544120230814174046124148"</f>
        <v>544120230814174046124148</v>
      </c>
      <c r="C341" s="11" t="str">
        <f t="shared" si="25"/>
        <v>0103</v>
      </c>
      <c r="D341" s="11" t="s">
        <v>11</v>
      </c>
      <c r="E341" s="11" t="str">
        <f>"陈姝羽"</f>
        <v>陈姝羽</v>
      </c>
      <c r="F341" s="11" t="str">
        <f t="shared" si="27"/>
        <v>女</v>
      </c>
      <c r="G341" s="12"/>
    </row>
    <row r="342" spans="1:7" ht="30" customHeight="1">
      <c r="A342" s="10">
        <v>339</v>
      </c>
      <c r="B342" s="11" t="str">
        <f>"544120230820224332124305"</f>
        <v>544120230820224332124305</v>
      </c>
      <c r="C342" s="11" t="str">
        <f t="shared" si="25"/>
        <v>0103</v>
      </c>
      <c r="D342" s="11" t="s">
        <v>11</v>
      </c>
      <c r="E342" s="11" t="str">
        <f>"王金银"</f>
        <v>王金银</v>
      </c>
      <c r="F342" s="11" t="str">
        <f t="shared" si="27"/>
        <v>女</v>
      </c>
      <c r="G342" s="12"/>
    </row>
    <row r="343" spans="1:7" ht="30" customHeight="1">
      <c r="A343" s="10">
        <v>340</v>
      </c>
      <c r="B343" s="11" t="str">
        <f>"544120230820232934124307"</f>
        <v>544120230820232934124307</v>
      </c>
      <c r="C343" s="11" t="str">
        <f t="shared" si="25"/>
        <v>0103</v>
      </c>
      <c r="D343" s="11" t="s">
        <v>11</v>
      </c>
      <c r="E343" s="11" t="str">
        <f>"赵智美"</f>
        <v>赵智美</v>
      </c>
      <c r="F343" s="11" t="str">
        <f t="shared" si="27"/>
        <v>女</v>
      </c>
      <c r="G343" s="12"/>
    </row>
    <row r="344" spans="1:7" ht="30" customHeight="1">
      <c r="A344" s="10">
        <v>341</v>
      </c>
      <c r="B344" s="11" t="str">
        <f>"544120230821083710124308"</f>
        <v>544120230821083710124308</v>
      </c>
      <c r="C344" s="11" t="str">
        <f t="shared" si="25"/>
        <v>0103</v>
      </c>
      <c r="D344" s="11" t="s">
        <v>11</v>
      </c>
      <c r="E344" s="11" t="str">
        <f>"黄金美"</f>
        <v>黄金美</v>
      </c>
      <c r="F344" s="11" t="str">
        <f t="shared" si="27"/>
        <v>女</v>
      </c>
      <c r="G344" s="12"/>
    </row>
    <row r="345" spans="1:7" ht="30" customHeight="1">
      <c r="A345" s="10">
        <v>342</v>
      </c>
      <c r="B345" s="11" t="str">
        <f>"544120230821094113124312"</f>
        <v>544120230821094113124312</v>
      </c>
      <c r="C345" s="11" t="str">
        <f t="shared" si="25"/>
        <v>0103</v>
      </c>
      <c r="D345" s="11" t="s">
        <v>11</v>
      </c>
      <c r="E345" s="11" t="str">
        <f>"许进霞"</f>
        <v>许进霞</v>
      </c>
      <c r="F345" s="11" t="str">
        <f t="shared" si="27"/>
        <v>女</v>
      </c>
      <c r="G345" s="12"/>
    </row>
    <row r="346" spans="1:7" ht="30" customHeight="1">
      <c r="A346" s="10">
        <v>343</v>
      </c>
      <c r="B346" s="11" t="str">
        <f>"544120230821095949124313"</f>
        <v>544120230821095949124313</v>
      </c>
      <c r="C346" s="11" t="str">
        <f t="shared" si="25"/>
        <v>0103</v>
      </c>
      <c r="D346" s="11" t="s">
        <v>11</v>
      </c>
      <c r="E346" s="11" t="str">
        <f>"杨菲菲"</f>
        <v>杨菲菲</v>
      </c>
      <c r="F346" s="11" t="str">
        <f t="shared" si="27"/>
        <v>女</v>
      </c>
      <c r="G346" s="12"/>
    </row>
    <row r="347" spans="1:7" ht="30" customHeight="1">
      <c r="A347" s="10">
        <v>344</v>
      </c>
      <c r="B347" s="11" t="str">
        <f>"544120230821104000124317"</f>
        <v>544120230821104000124317</v>
      </c>
      <c r="C347" s="11" t="str">
        <f t="shared" si="25"/>
        <v>0103</v>
      </c>
      <c r="D347" s="11" t="s">
        <v>11</v>
      </c>
      <c r="E347" s="11" t="str">
        <f>"符慧彬"</f>
        <v>符慧彬</v>
      </c>
      <c r="F347" s="11" t="str">
        <f t="shared" si="27"/>
        <v>女</v>
      </c>
      <c r="G347" s="12"/>
    </row>
    <row r="348" spans="1:7" ht="30" customHeight="1">
      <c r="A348" s="10">
        <v>345</v>
      </c>
      <c r="B348" s="11" t="str">
        <f>"544120230821110532124319"</f>
        <v>544120230821110532124319</v>
      </c>
      <c r="C348" s="11" t="str">
        <f t="shared" si="25"/>
        <v>0103</v>
      </c>
      <c r="D348" s="11" t="s">
        <v>11</v>
      </c>
      <c r="E348" s="11" t="str">
        <f>"邢虹"</f>
        <v>邢虹</v>
      </c>
      <c r="F348" s="11" t="str">
        <f t="shared" si="27"/>
        <v>女</v>
      </c>
      <c r="G348" s="12"/>
    </row>
    <row r="349" spans="1:7" ht="30" customHeight="1">
      <c r="A349" s="10">
        <v>346</v>
      </c>
      <c r="B349" s="11" t="str">
        <f>"544120230821135006124327"</f>
        <v>544120230821135006124327</v>
      </c>
      <c r="C349" s="11" t="str">
        <f t="shared" si="25"/>
        <v>0103</v>
      </c>
      <c r="D349" s="11" t="s">
        <v>11</v>
      </c>
      <c r="E349" s="11" t="str">
        <f>"郑秀玲"</f>
        <v>郑秀玲</v>
      </c>
      <c r="F349" s="11" t="str">
        <f t="shared" si="27"/>
        <v>女</v>
      </c>
      <c r="G349" s="12"/>
    </row>
    <row r="350" spans="1:7" ht="30" customHeight="1">
      <c r="A350" s="10">
        <v>347</v>
      </c>
      <c r="B350" s="11" t="str">
        <f>"544120230821141644124330"</f>
        <v>544120230821141644124330</v>
      </c>
      <c r="C350" s="11" t="str">
        <f t="shared" si="25"/>
        <v>0103</v>
      </c>
      <c r="D350" s="11" t="s">
        <v>11</v>
      </c>
      <c r="E350" s="11" t="str">
        <f>"吴丽"</f>
        <v>吴丽</v>
      </c>
      <c r="F350" s="11" t="str">
        <f t="shared" si="27"/>
        <v>女</v>
      </c>
      <c r="G350" s="12"/>
    </row>
    <row r="351" spans="1:7" ht="30" customHeight="1">
      <c r="A351" s="10">
        <v>348</v>
      </c>
      <c r="B351" s="11" t="str">
        <f>"544120230821152153124335"</f>
        <v>544120230821152153124335</v>
      </c>
      <c r="C351" s="11" t="str">
        <f t="shared" si="25"/>
        <v>0103</v>
      </c>
      <c r="D351" s="11" t="s">
        <v>11</v>
      </c>
      <c r="E351" s="11" t="str">
        <f>"吴泊儒"</f>
        <v>吴泊儒</v>
      </c>
      <c r="F351" s="11" t="str">
        <f>"男"</f>
        <v>男</v>
      </c>
      <c r="G351" s="12"/>
    </row>
    <row r="352" spans="1:7" ht="30" customHeight="1">
      <c r="A352" s="10">
        <v>349</v>
      </c>
      <c r="B352" s="11" t="str">
        <f>"544120230821144719124331"</f>
        <v>544120230821144719124331</v>
      </c>
      <c r="C352" s="11" t="str">
        <f t="shared" si="25"/>
        <v>0103</v>
      </c>
      <c r="D352" s="11" t="s">
        <v>11</v>
      </c>
      <c r="E352" s="11" t="str">
        <f>"许敏"</f>
        <v>许敏</v>
      </c>
      <c r="F352" s="11" t="str">
        <f aca="true" t="shared" si="28" ref="F352:F362">"女"</f>
        <v>女</v>
      </c>
      <c r="G352" s="12"/>
    </row>
    <row r="353" spans="1:7" ht="30" customHeight="1">
      <c r="A353" s="10">
        <v>350</v>
      </c>
      <c r="B353" s="11" t="str">
        <f>"544120230821172313124341"</f>
        <v>544120230821172313124341</v>
      </c>
      <c r="C353" s="11" t="str">
        <f t="shared" si="25"/>
        <v>0103</v>
      </c>
      <c r="D353" s="11" t="s">
        <v>11</v>
      </c>
      <c r="E353" s="11" t="str">
        <f>"陈和景"</f>
        <v>陈和景</v>
      </c>
      <c r="F353" s="11" t="str">
        <f t="shared" si="28"/>
        <v>女</v>
      </c>
      <c r="G353" s="12"/>
    </row>
    <row r="354" spans="1:7" ht="30" customHeight="1">
      <c r="A354" s="10">
        <v>351</v>
      </c>
      <c r="B354" s="11" t="str">
        <f>"544120230815141159124179"</f>
        <v>544120230815141159124179</v>
      </c>
      <c r="C354" s="11" t="str">
        <f t="shared" si="25"/>
        <v>0103</v>
      </c>
      <c r="D354" s="11" t="s">
        <v>11</v>
      </c>
      <c r="E354" s="11" t="str">
        <f>"孙瑞文"</f>
        <v>孙瑞文</v>
      </c>
      <c r="F354" s="11" t="str">
        <f t="shared" si="28"/>
        <v>女</v>
      </c>
      <c r="G354" s="12"/>
    </row>
    <row r="355" spans="1:7" ht="30" customHeight="1">
      <c r="A355" s="10">
        <v>352</v>
      </c>
      <c r="B355" s="11" t="str">
        <f>"544120230821185351124345"</f>
        <v>544120230821185351124345</v>
      </c>
      <c r="C355" s="11" t="str">
        <f t="shared" si="25"/>
        <v>0103</v>
      </c>
      <c r="D355" s="11" t="s">
        <v>11</v>
      </c>
      <c r="E355" s="11" t="str">
        <f>"姚颖"</f>
        <v>姚颖</v>
      </c>
      <c r="F355" s="11" t="str">
        <f t="shared" si="28"/>
        <v>女</v>
      </c>
      <c r="G355" s="12"/>
    </row>
    <row r="356" spans="1:7" ht="30" customHeight="1">
      <c r="A356" s="10">
        <v>353</v>
      </c>
      <c r="B356" s="11" t="str">
        <f>"544120230821114352124322"</f>
        <v>544120230821114352124322</v>
      </c>
      <c r="C356" s="11" t="str">
        <f t="shared" si="25"/>
        <v>0103</v>
      </c>
      <c r="D356" s="11" t="s">
        <v>11</v>
      </c>
      <c r="E356" s="11" t="str">
        <f>"刘佳丽"</f>
        <v>刘佳丽</v>
      </c>
      <c r="F356" s="11" t="str">
        <f t="shared" si="28"/>
        <v>女</v>
      </c>
      <c r="G356" s="12"/>
    </row>
    <row r="357" spans="1:7" ht="30" customHeight="1">
      <c r="A357" s="10">
        <v>354</v>
      </c>
      <c r="B357" s="11" t="str">
        <f>"544120230821184634124344"</f>
        <v>544120230821184634124344</v>
      </c>
      <c r="C357" s="11" t="str">
        <f t="shared" si="25"/>
        <v>0103</v>
      </c>
      <c r="D357" s="11" t="s">
        <v>11</v>
      </c>
      <c r="E357" s="11" t="str">
        <f>"何兰秋"</f>
        <v>何兰秋</v>
      </c>
      <c r="F357" s="11" t="str">
        <f t="shared" si="28"/>
        <v>女</v>
      </c>
      <c r="G357" s="12"/>
    </row>
    <row r="358" spans="1:7" ht="30" customHeight="1">
      <c r="A358" s="10">
        <v>355</v>
      </c>
      <c r="B358" s="11" t="str">
        <f>"544120230821192033124348"</f>
        <v>544120230821192033124348</v>
      </c>
      <c r="C358" s="11" t="str">
        <f t="shared" si="25"/>
        <v>0103</v>
      </c>
      <c r="D358" s="11" t="s">
        <v>11</v>
      </c>
      <c r="E358" s="11" t="str">
        <f>"李小意"</f>
        <v>李小意</v>
      </c>
      <c r="F358" s="11" t="str">
        <f t="shared" si="28"/>
        <v>女</v>
      </c>
      <c r="G358" s="12"/>
    </row>
    <row r="359" spans="1:7" ht="30" customHeight="1">
      <c r="A359" s="10">
        <v>356</v>
      </c>
      <c r="B359" s="11" t="str">
        <f>"544120230814221907124159"</f>
        <v>544120230814221907124159</v>
      </c>
      <c r="C359" s="11" t="str">
        <f t="shared" si="25"/>
        <v>0103</v>
      </c>
      <c r="D359" s="11" t="s">
        <v>11</v>
      </c>
      <c r="E359" s="11" t="str">
        <f>"韦子琪"</f>
        <v>韦子琪</v>
      </c>
      <c r="F359" s="11" t="str">
        <f t="shared" si="28"/>
        <v>女</v>
      </c>
      <c r="G359" s="12"/>
    </row>
    <row r="360" spans="1:7" ht="30" customHeight="1">
      <c r="A360" s="10">
        <v>357</v>
      </c>
      <c r="B360" s="11" t="str">
        <f>"544120230821221129124354"</f>
        <v>544120230821221129124354</v>
      </c>
      <c r="C360" s="11" t="str">
        <f t="shared" si="25"/>
        <v>0103</v>
      </c>
      <c r="D360" s="11" t="s">
        <v>11</v>
      </c>
      <c r="E360" s="11" t="str">
        <f>"李娜"</f>
        <v>李娜</v>
      </c>
      <c r="F360" s="11" t="str">
        <f t="shared" si="28"/>
        <v>女</v>
      </c>
      <c r="G360" s="12"/>
    </row>
    <row r="361" spans="1:7" ht="30" customHeight="1">
      <c r="A361" s="10">
        <v>358</v>
      </c>
      <c r="B361" s="11" t="str">
        <f>"544120230820222510124304"</f>
        <v>544120230820222510124304</v>
      </c>
      <c r="C361" s="11" t="str">
        <f t="shared" si="25"/>
        <v>0103</v>
      </c>
      <c r="D361" s="11" t="s">
        <v>11</v>
      </c>
      <c r="E361" s="11" t="str">
        <f>"张莹莹"</f>
        <v>张莹莹</v>
      </c>
      <c r="F361" s="11" t="str">
        <f t="shared" si="28"/>
        <v>女</v>
      </c>
      <c r="G361" s="12"/>
    </row>
    <row r="362" spans="1:7" ht="30" customHeight="1">
      <c r="A362" s="10">
        <v>359</v>
      </c>
      <c r="B362" s="11" t="str">
        <f>"544120230821222830124355"</f>
        <v>544120230821222830124355</v>
      </c>
      <c r="C362" s="11" t="str">
        <f t="shared" si="25"/>
        <v>0103</v>
      </c>
      <c r="D362" s="11" t="s">
        <v>11</v>
      </c>
      <c r="E362" s="11" t="str">
        <f>"李子莹"</f>
        <v>李子莹</v>
      </c>
      <c r="F362" s="11" t="str">
        <f t="shared" si="28"/>
        <v>女</v>
      </c>
      <c r="G362" s="12"/>
    </row>
    <row r="363" spans="1:7" ht="30" customHeight="1">
      <c r="A363" s="10">
        <v>360</v>
      </c>
      <c r="B363" s="11" t="str">
        <f>"544120230821233904124357"</f>
        <v>544120230821233904124357</v>
      </c>
      <c r="C363" s="11" t="str">
        <f t="shared" si="25"/>
        <v>0103</v>
      </c>
      <c r="D363" s="11" t="s">
        <v>11</v>
      </c>
      <c r="E363" s="11" t="str">
        <f>"夏耀武"</f>
        <v>夏耀武</v>
      </c>
      <c r="F363" s="11" t="str">
        <f>"男"</f>
        <v>男</v>
      </c>
      <c r="G363" s="12"/>
    </row>
    <row r="364" spans="1:7" ht="30" customHeight="1">
      <c r="A364" s="10">
        <v>361</v>
      </c>
      <c r="B364" s="11" t="str">
        <f>"544120230822005419124360"</f>
        <v>544120230822005419124360</v>
      </c>
      <c r="C364" s="11" t="str">
        <f t="shared" si="25"/>
        <v>0103</v>
      </c>
      <c r="D364" s="11" t="s">
        <v>11</v>
      </c>
      <c r="E364" s="11" t="str">
        <f>"符小卓"</f>
        <v>符小卓</v>
      </c>
      <c r="F364" s="11" t="str">
        <f>"女"</f>
        <v>女</v>
      </c>
      <c r="G364" s="12"/>
    </row>
    <row r="365" spans="1:7" ht="30" customHeight="1">
      <c r="A365" s="10">
        <v>362</v>
      </c>
      <c r="B365" s="11" t="str">
        <f>"544120230816210707124233"</f>
        <v>544120230816210707124233</v>
      </c>
      <c r="C365" s="11" t="str">
        <f t="shared" si="25"/>
        <v>0103</v>
      </c>
      <c r="D365" s="11" t="s">
        <v>11</v>
      </c>
      <c r="E365" s="11" t="str">
        <f>"袁渊"</f>
        <v>袁渊</v>
      </c>
      <c r="F365" s="11" t="str">
        <f>"女"</f>
        <v>女</v>
      </c>
      <c r="G365" s="12"/>
    </row>
    <row r="366" spans="1:7" ht="30" customHeight="1">
      <c r="A366" s="10">
        <v>363</v>
      </c>
      <c r="B366" s="11" t="str">
        <f>"544120230822075546124362"</f>
        <v>544120230822075546124362</v>
      </c>
      <c r="C366" s="11" t="str">
        <f t="shared" si="25"/>
        <v>0103</v>
      </c>
      <c r="D366" s="11" t="s">
        <v>11</v>
      </c>
      <c r="E366" s="11" t="str">
        <f>"杨惠景"</f>
        <v>杨惠景</v>
      </c>
      <c r="F366" s="11" t="str">
        <f>"女"</f>
        <v>女</v>
      </c>
      <c r="G366" s="12"/>
    </row>
    <row r="367" spans="1:7" ht="30" customHeight="1">
      <c r="A367" s="10">
        <v>364</v>
      </c>
      <c r="B367" s="11" t="str">
        <f>"544120230821144937124332"</f>
        <v>544120230821144937124332</v>
      </c>
      <c r="C367" s="11" t="str">
        <f t="shared" si="25"/>
        <v>0103</v>
      </c>
      <c r="D367" s="11" t="s">
        <v>11</v>
      </c>
      <c r="E367" s="11" t="str">
        <f>"郑薇薇"</f>
        <v>郑薇薇</v>
      </c>
      <c r="F367" s="11" t="str">
        <f>"女"</f>
        <v>女</v>
      </c>
      <c r="G367" s="12"/>
    </row>
    <row r="368" spans="1:7" ht="30" customHeight="1">
      <c r="A368" s="10">
        <v>365</v>
      </c>
      <c r="B368" s="11" t="str">
        <f>"544120230822085933124364"</f>
        <v>544120230822085933124364</v>
      </c>
      <c r="C368" s="11" t="str">
        <f t="shared" si="25"/>
        <v>0103</v>
      </c>
      <c r="D368" s="11" t="s">
        <v>11</v>
      </c>
      <c r="E368" s="11" t="str">
        <f>"符春平"</f>
        <v>符春平</v>
      </c>
      <c r="F368" s="11" t="str">
        <f>"女"</f>
        <v>女</v>
      </c>
      <c r="G368" s="12"/>
    </row>
    <row r="369" spans="1:7" ht="30" customHeight="1">
      <c r="A369" s="10">
        <v>366</v>
      </c>
      <c r="B369" s="11" t="str">
        <f>"544120230822104602124372"</f>
        <v>544120230822104602124372</v>
      </c>
      <c r="C369" s="11" t="str">
        <f t="shared" si="25"/>
        <v>0103</v>
      </c>
      <c r="D369" s="11" t="s">
        <v>11</v>
      </c>
      <c r="E369" s="11" t="str">
        <f>"符传彬"</f>
        <v>符传彬</v>
      </c>
      <c r="F369" s="11" t="str">
        <f>"男"</f>
        <v>男</v>
      </c>
      <c r="G369" s="12"/>
    </row>
    <row r="370" spans="1:7" ht="30" customHeight="1">
      <c r="A370" s="10">
        <v>367</v>
      </c>
      <c r="B370" s="11" t="str">
        <f>"544120230822105055124373"</f>
        <v>544120230822105055124373</v>
      </c>
      <c r="C370" s="11" t="str">
        <f t="shared" si="25"/>
        <v>0103</v>
      </c>
      <c r="D370" s="11" t="s">
        <v>11</v>
      </c>
      <c r="E370" s="11" t="str">
        <f>"陈紫华"</f>
        <v>陈紫华</v>
      </c>
      <c r="F370" s="11" t="str">
        <f aca="true" t="shared" si="29" ref="F370:F376">"女"</f>
        <v>女</v>
      </c>
      <c r="G370" s="12"/>
    </row>
    <row r="371" spans="1:7" ht="30" customHeight="1">
      <c r="A371" s="10">
        <v>368</v>
      </c>
      <c r="B371" s="11" t="str">
        <f>"544120230822120713124376"</f>
        <v>544120230822120713124376</v>
      </c>
      <c r="C371" s="11" t="str">
        <f t="shared" si="25"/>
        <v>0103</v>
      </c>
      <c r="D371" s="11" t="s">
        <v>11</v>
      </c>
      <c r="E371" s="11" t="str">
        <f>"符紫凤"</f>
        <v>符紫凤</v>
      </c>
      <c r="F371" s="11" t="str">
        <f t="shared" si="29"/>
        <v>女</v>
      </c>
      <c r="G371" s="12"/>
    </row>
    <row r="372" spans="1:7" ht="30" customHeight="1">
      <c r="A372" s="10">
        <v>369</v>
      </c>
      <c r="B372" s="11" t="str">
        <f>"544120230822124505124377"</f>
        <v>544120230822124505124377</v>
      </c>
      <c r="C372" s="11" t="str">
        <f t="shared" si="25"/>
        <v>0103</v>
      </c>
      <c r="D372" s="11" t="s">
        <v>11</v>
      </c>
      <c r="E372" s="11" t="str">
        <f>"吴燕阳"</f>
        <v>吴燕阳</v>
      </c>
      <c r="F372" s="11" t="str">
        <f t="shared" si="29"/>
        <v>女</v>
      </c>
      <c r="G372" s="12"/>
    </row>
    <row r="373" spans="1:7" ht="30" customHeight="1">
      <c r="A373" s="10">
        <v>370</v>
      </c>
      <c r="B373" s="11" t="str">
        <f>"544120230822092836124366"</f>
        <v>544120230822092836124366</v>
      </c>
      <c r="C373" s="11" t="str">
        <f t="shared" si="25"/>
        <v>0103</v>
      </c>
      <c r="D373" s="11" t="s">
        <v>11</v>
      </c>
      <c r="E373" s="11" t="str">
        <f>"陈慧"</f>
        <v>陈慧</v>
      </c>
      <c r="F373" s="11" t="str">
        <f t="shared" si="29"/>
        <v>女</v>
      </c>
      <c r="G373" s="12"/>
    </row>
    <row r="374" spans="1:7" ht="30" customHeight="1">
      <c r="A374" s="10">
        <v>371</v>
      </c>
      <c r="B374" s="11" t="str">
        <f>"544120230822131833124378"</f>
        <v>544120230822131833124378</v>
      </c>
      <c r="C374" s="11" t="str">
        <f t="shared" si="25"/>
        <v>0103</v>
      </c>
      <c r="D374" s="11" t="s">
        <v>11</v>
      </c>
      <c r="E374" s="11" t="str">
        <f>"唐于琏"</f>
        <v>唐于琏</v>
      </c>
      <c r="F374" s="11" t="str">
        <f t="shared" si="29"/>
        <v>女</v>
      </c>
      <c r="G374" s="12"/>
    </row>
    <row r="375" spans="1:7" ht="30" customHeight="1">
      <c r="A375" s="10">
        <v>372</v>
      </c>
      <c r="B375" s="11" t="str">
        <f>"544120230822133204124379"</f>
        <v>544120230822133204124379</v>
      </c>
      <c r="C375" s="11" t="str">
        <f t="shared" si="25"/>
        <v>0103</v>
      </c>
      <c r="D375" s="11" t="s">
        <v>11</v>
      </c>
      <c r="E375" s="11" t="str">
        <f>"陈丽婉"</f>
        <v>陈丽婉</v>
      </c>
      <c r="F375" s="11" t="str">
        <f t="shared" si="29"/>
        <v>女</v>
      </c>
      <c r="G375" s="12"/>
    </row>
    <row r="376" spans="1:7" ht="30" customHeight="1">
      <c r="A376" s="10">
        <v>373</v>
      </c>
      <c r="B376" s="11" t="str">
        <f>"544120230821113427124321"</f>
        <v>544120230821113427124321</v>
      </c>
      <c r="C376" s="11" t="str">
        <f t="shared" si="25"/>
        <v>0103</v>
      </c>
      <c r="D376" s="11" t="s">
        <v>11</v>
      </c>
      <c r="E376" s="11" t="str">
        <f>"文恒菁"</f>
        <v>文恒菁</v>
      </c>
      <c r="F376" s="11" t="str">
        <f t="shared" si="29"/>
        <v>女</v>
      </c>
      <c r="G376" s="12"/>
    </row>
    <row r="377" spans="1:7" ht="30" customHeight="1">
      <c r="A377" s="10">
        <v>374</v>
      </c>
      <c r="B377" s="11" t="str">
        <f>"544120230816145530124219"</f>
        <v>544120230816145530124219</v>
      </c>
      <c r="C377" s="11" t="str">
        <f t="shared" si="25"/>
        <v>0103</v>
      </c>
      <c r="D377" s="11" t="s">
        <v>11</v>
      </c>
      <c r="E377" s="11" t="str">
        <f>"任洲"</f>
        <v>任洲</v>
      </c>
      <c r="F377" s="11" t="str">
        <f>"男"</f>
        <v>男</v>
      </c>
      <c r="G377" s="12"/>
    </row>
    <row r="378" spans="1:7" ht="30" customHeight="1">
      <c r="A378" s="10">
        <v>375</v>
      </c>
      <c r="B378" s="11" t="str">
        <f>"544120230822173453124388"</f>
        <v>544120230822173453124388</v>
      </c>
      <c r="C378" s="11" t="str">
        <f t="shared" si="25"/>
        <v>0103</v>
      </c>
      <c r="D378" s="11" t="s">
        <v>11</v>
      </c>
      <c r="E378" s="11" t="str">
        <f>"胡绍明"</f>
        <v>胡绍明</v>
      </c>
      <c r="F378" s="11" t="str">
        <f>"男"</f>
        <v>男</v>
      </c>
      <c r="G378" s="12"/>
    </row>
    <row r="379" spans="1:7" ht="30" customHeight="1">
      <c r="A379" s="10">
        <v>376</v>
      </c>
      <c r="B379" s="11" t="str">
        <f>"544120230822185733124393"</f>
        <v>544120230822185733124393</v>
      </c>
      <c r="C379" s="11" t="str">
        <f t="shared" si="25"/>
        <v>0103</v>
      </c>
      <c r="D379" s="11" t="s">
        <v>11</v>
      </c>
      <c r="E379" s="11" t="str">
        <f>"林明帅"</f>
        <v>林明帅</v>
      </c>
      <c r="F379" s="11" t="str">
        <f>"男"</f>
        <v>男</v>
      </c>
      <c r="G379" s="12"/>
    </row>
    <row r="380" spans="1:7" ht="30" customHeight="1">
      <c r="A380" s="10">
        <v>377</v>
      </c>
      <c r="B380" s="11" t="str">
        <f>"544120230821121039124323"</f>
        <v>544120230821121039124323</v>
      </c>
      <c r="C380" s="11" t="str">
        <f t="shared" si="25"/>
        <v>0103</v>
      </c>
      <c r="D380" s="11" t="s">
        <v>11</v>
      </c>
      <c r="E380" s="11" t="str">
        <f>"刘思"</f>
        <v>刘思</v>
      </c>
      <c r="F380" s="11" t="str">
        <f aca="true" t="shared" si="30" ref="F380:F390">"女"</f>
        <v>女</v>
      </c>
      <c r="G380" s="12"/>
    </row>
    <row r="381" spans="1:7" ht="30" customHeight="1">
      <c r="A381" s="10">
        <v>378</v>
      </c>
      <c r="B381" s="11" t="str">
        <f>"544120230822202421124397"</f>
        <v>544120230822202421124397</v>
      </c>
      <c r="C381" s="11" t="str">
        <f t="shared" si="25"/>
        <v>0103</v>
      </c>
      <c r="D381" s="11" t="s">
        <v>11</v>
      </c>
      <c r="E381" s="11" t="str">
        <f>"王莹"</f>
        <v>王莹</v>
      </c>
      <c r="F381" s="11" t="str">
        <f t="shared" si="30"/>
        <v>女</v>
      </c>
      <c r="G381" s="13" t="str">
        <f>"身份证后四位数为7628"</f>
        <v>身份证后四位数为7628</v>
      </c>
    </row>
    <row r="382" spans="1:7" ht="30" customHeight="1">
      <c r="A382" s="10">
        <v>379</v>
      </c>
      <c r="B382" s="11" t="str">
        <f>"544120230822205518124400"</f>
        <v>544120230822205518124400</v>
      </c>
      <c r="C382" s="11" t="str">
        <f t="shared" si="25"/>
        <v>0103</v>
      </c>
      <c r="D382" s="11" t="s">
        <v>11</v>
      </c>
      <c r="E382" s="11" t="str">
        <f>"杜嘉滢"</f>
        <v>杜嘉滢</v>
      </c>
      <c r="F382" s="11" t="str">
        <f t="shared" si="30"/>
        <v>女</v>
      </c>
      <c r="G382" s="12"/>
    </row>
    <row r="383" spans="1:7" ht="30" customHeight="1">
      <c r="A383" s="10">
        <v>380</v>
      </c>
      <c r="B383" s="11" t="str">
        <f>"544120230814091149124118"</f>
        <v>544120230814091149124118</v>
      </c>
      <c r="C383" s="11" t="str">
        <f t="shared" si="25"/>
        <v>0103</v>
      </c>
      <c r="D383" s="11" t="s">
        <v>11</v>
      </c>
      <c r="E383" s="11" t="str">
        <f>"熊雅婷"</f>
        <v>熊雅婷</v>
      </c>
      <c r="F383" s="11" t="str">
        <f t="shared" si="30"/>
        <v>女</v>
      </c>
      <c r="G383" s="12"/>
    </row>
    <row r="384" spans="1:7" ht="30" customHeight="1">
      <c r="A384" s="10">
        <v>381</v>
      </c>
      <c r="B384" s="11" t="str">
        <f>"544120230822233422124406"</f>
        <v>544120230822233422124406</v>
      </c>
      <c r="C384" s="11" t="str">
        <f aca="true" t="shared" si="31" ref="C384:C402">"0103"</f>
        <v>0103</v>
      </c>
      <c r="D384" s="11" t="s">
        <v>11</v>
      </c>
      <c r="E384" s="11" t="str">
        <f>"黎明馨"</f>
        <v>黎明馨</v>
      </c>
      <c r="F384" s="11" t="str">
        <f t="shared" si="30"/>
        <v>女</v>
      </c>
      <c r="G384" s="12"/>
    </row>
    <row r="385" spans="1:7" ht="30" customHeight="1">
      <c r="A385" s="10">
        <v>382</v>
      </c>
      <c r="B385" s="11" t="str">
        <f>"544120230822232249124404"</f>
        <v>544120230822232249124404</v>
      </c>
      <c r="C385" s="11" t="str">
        <f t="shared" si="31"/>
        <v>0103</v>
      </c>
      <c r="D385" s="11" t="s">
        <v>11</v>
      </c>
      <c r="E385" s="11" t="str">
        <f>"黎经芸"</f>
        <v>黎经芸</v>
      </c>
      <c r="F385" s="11" t="str">
        <f t="shared" si="30"/>
        <v>女</v>
      </c>
      <c r="G385" s="12"/>
    </row>
    <row r="386" spans="1:7" ht="30" customHeight="1">
      <c r="A386" s="10">
        <v>383</v>
      </c>
      <c r="B386" s="11" t="str">
        <f>"544120230823003222124408"</f>
        <v>544120230823003222124408</v>
      </c>
      <c r="C386" s="11" t="str">
        <f t="shared" si="31"/>
        <v>0103</v>
      </c>
      <c r="D386" s="11" t="s">
        <v>11</v>
      </c>
      <c r="E386" s="11" t="str">
        <f>"黄韵雯"</f>
        <v>黄韵雯</v>
      </c>
      <c r="F386" s="11" t="str">
        <f t="shared" si="30"/>
        <v>女</v>
      </c>
      <c r="G386" s="12"/>
    </row>
    <row r="387" spans="1:7" ht="30" customHeight="1">
      <c r="A387" s="10">
        <v>384</v>
      </c>
      <c r="B387" s="11" t="str">
        <f>"544120230823004518124411"</f>
        <v>544120230823004518124411</v>
      </c>
      <c r="C387" s="11" t="str">
        <f t="shared" si="31"/>
        <v>0103</v>
      </c>
      <c r="D387" s="11" t="s">
        <v>11</v>
      </c>
      <c r="E387" s="11" t="str">
        <f>"吴秋香"</f>
        <v>吴秋香</v>
      </c>
      <c r="F387" s="11" t="str">
        <f t="shared" si="30"/>
        <v>女</v>
      </c>
      <c r="G387" s="12"/>
    </row>
    <row r="388" spans="1:7" ht="30" customHeight="1">
      <c r="A388" s="10">
        <v>385</v>
      </c>
      <c r="B388" s="11" t="str">
        <f>"544120230823002251124407"</f>
        <v>544120230823002251124407</v>
      </c>
      <c r="C388" s="11" t="str">
        <f t="shared" si="31"/>
        <v>0103</v>
      </c>
      <c r="D388" s="11" t="s">
        <v>11</v>
      </c>
      <c r="E388" s="11" t="str">
        <f>"周彦汐"</f>
        <v>周彦汐</v>
      </c>
      <c r="F388" s="11" t="str">
        <f t="shared" si="30"/>
        <v>女</v>
      </c>
      <c r="G388" s="12"/>
    </row>
    <row r="389" spans="1:7" ht="30" customHeight="1">
      <c r="A389" s="10">
        <v>386</v>
      </c>
      <c r="B389" s="11" t="str">
        <f>"544120230823075855124416"</f>
        <v>544120230823075855124416</v>
      </c>
      <c r="C389" s="11" t="str">
        <f t="shared" si="31"/>
        <v>0103</v>
      </c>
      <c r="D389" s="11" t="s">
        <v>11</v>
      </c>
      <c r="E389" s="11" t="str">
        <f>"林汝"</f>
        <v>林汝</v>
      </c>
      <c r="F389" s="11" t="str">
        <f t="shared" si="30"/>
        <v>女</v>
      </c>
      <c r="G389" s="12"/>
    </row>
    <row r="390" spans="1:7" ht="30" customHeight="1">
      <c r="A390" s="10">
        <v>387</v>
      </c>
      <c r="B390" s="11" t="str">
        <f>"544120230822200300124396"</f>
        <v>544120230822200300124396</v>
      </c>
      <c r="C390" s="11" t="str">
        <f t="shared" si="31"/>
        <v>0103</v>
      </c>
      <c r="D390" s="11" t="s">
        <v>11</v>
      </c>
      <c r="E390" s="11" t="str">
        <f>"尹杰琦"</f>
        <v>尹杰琦</v>
      </c>
      <c r="F390" s="11" t="str">
        <f t="shared" si="30"/>
        <v>女</v>
      </c>
      <c r="G390" s="12"/>
    </row>
    <row r="391" spans="1:7" ht="30" customHeight="1">
      <c r="A391" s="10">
        <v>388</v>
      </c>
      <c r="B391" s="11" t="str">
        <f>"544120230823004504124410"</f>
        <v>544120230823004504124410</v>
      </c>
      <c r="C391" s="11" t="str">
        <f t="shared" si="31"/>
        <v>0103</v>
      </c>
      <c r="D391" s="11" t="s">
        <v>11</v>
      </c>
      <c r="E391" s="11" t="str">
        <f>"古忠国"</f>
        <v>古忠国</v>
      </c>
      <c r="F391" s="11" t="str">
        <f>"男"</f>
        <v>男</v>
      </c>
      <c r="G391" s="12"/>
    </row>
    <row r="392" spans="1:7" ht="30" customHeight="1">
      <c r="A392" s="10">
        <v>389</v>
      </c>
      <c r="B392" s="11" t="str">
        <f>"544120230823091449124419"</f>
        <v>544120230823091449124419</v>
      </c>
      <c r="C392" s="11" t="str">
        <f t="shared" si="31"/>
        <v>0103</v>
      </c>
      <c r="D392" s="11" t="s">
        <v>11</v>
      </c>
      <c r="E392" s="11" t="str">
        <f>"吴咏诗"</f>
        <v>吴咏诗</v>
      </c>
      <c r="F392" s="11" t="str">
        <f>"女"</f>
        <v>女</v>
      </c>
      <c r="G392" s="12"/>
    </row>
    <row r="393" spans="1:7" ht="30" customHeight="1">
      <c r="A393" s="10">
        <v>390</v>
      </c>
      <c r="B393" s="11" t="str">
        <f>"544120230816093627124203"</f>
        <v>544120230816093627124203</v>
      </c>
      <c r="C393" s="11" t="str">
        <f t="shared" si="31"/>
        <v>0103</v>
      </c>
      <c r="D393" s="11" t="s">
        <v>11</v>
      </c>
      <c r="E393" s="11" t="str">
        <f>"庄惠惠"</f>
        <v>庄惠惠</v>
      </c>
      <c r="F393" s="11" t="str">
        <f>"女"</f>
        <v>女</v>
      </c>
      <c r="G393" s="12"/>
    </row>
    <row r="394" spans="1:7" ht="30" customHeight="1">
      <c r="A394" s="10">
        <v>391</v>
      </c>
      <c r="B394" s="11" t="str">
        <f>"544120230821155115124338"</f>
        <v>544120230821155115124338</v>
      </c>
      <c r="C394" s="11" t="str">
        <f t="shared" si="31"/>
        <v>0103</v>
      </c>
      <c r="D394" s="11" t="s">
        <v>11</v>
      </c>
      <c r="E394" s="11" t="str">
        <f>"朱振汉"</f>
        <v>朱振汉</v>
      </c>
      <c r="F394" s="11" t="str">
        <f>"男"</f>
        <v>男</v>
      </c>
      <c r="G394" s="12"/>
    </row>
    <row r="395" spans="1:7" ht="30" customHeight="1">
      <c r="A395" s="10">
        <v>392</v>
      </c>
      <c r="B395" s="11" t="str">
        <f>"544120230823010303124412"</f>
        <v>544120230823010303124412</v>
      </c>
      <c r="C395" s="11" t="str">
        <f t="shared" si="31"/>
        <v>0103</v>
      </c>
      <c r="D395" s="11" t="s">
        <v>11</v>
      </c>
      <c r="E395" s="11" t="str">
        <f>"杜雨馨"</f>
        <v>杜雨馨</v>
      </c>
      <c r="F395" s="11" t="str">
        <f aca="true" t="shared" si="32" ref="F395:F402">"女"</f>
        <v>女</v>
      </c>
      <c r="G395" s="12"/>
    </row>
    <row r="396" spans="1:7" ht="30" customHeight="1">
      <c r="A396" s="10">
        <v>393</v>
      </c>
      <c r="B396" s="11" t="str">
        <f>"544120230823103845124427"</f>
        <v>544120230823103845124427</v>
      </c>
      <c r="C396" s="11" t="str">
        <f t="shared" si="31"/>
        <v>0103</v>
      </c>
      <c r="D396" s="11" t="s">
        <v>11</v>
      </c>
      <c r="E396" s="11" t="str">
        <f>"高假连"</f>
        <v>高假连</v>
      </c>
      <c r="F396" s="11" t="str">
        <f t="shared" si="32"/>
        <v>女</v>
      </c>
      <c r="G396" s="12"/>
    </row>
    <row r="397" spans="1:7" ht="30" customHeight="1">
      <c r="A397" s="10">
        <v>394</v>
      </c>
      <c r="B397" s="11" t="str">
        <f>"544120230823104748124429"</f>
        <v>544120230823104748124429</v>
      </c>
      <c r="C397" s="11" t="str">
        <f t="shared" si="31"/>
        <v>0103</v>
      </c>
      <c r="D397" s="11" t="s">
        <v>11</v>
      </c>
      <c r="E397" s="11" t="str">
        <f>"韩雅意"</f>
        <v>韩雅意</v>
      </c>
      <c r="F397" s="11" t="str">
        <f t="shared" si="32"/>
        <v>女</v>
      </c>
      <c r="G397" s="12"/>
    </row>
    <row r="398" spans="1:7" ht="30" customHeight="1">
      <c r="A398" s="10">
        <v>395</v>
      </c>
      <c r="B398" s="11" t="str">
        <f>"544120230823104646124428"</f>
        <v>544120230823104646124428</v>
      </c>
      <c r="C398" s="11" t="str">
        <f t="shared" si="31"/>
        <v>0103</v>
      </c>
      <c r="D398" s="11" t="s">
        <v>11</v>
      </c>
      <c r="E398" s="11" t="str">
        <f>"谢秋雯"</f>
        <v>谢秋雯</v>
      </c>
      <c r="F398" s="11" t="str">
        <f t="shared" si="32"/>
        <v>女</v>
      </c>
      <c r="G398" s="12"/>
    </row>
    <row r="399" spans="1:7" ht="30" customHeight="1">
      <c r="A399" s="10">
        <v>396</v>
      </c>
      <c r="B399" s="11" t="str">
        <f>"544120230814103606124123"</f>
        <v>544120230814103606124123</v>
      </c>
      <c r="C399" s="11" t="str">
        <f t="shared" si="31"/>
        <v>0103</v>
      </c>
      <c r="D399" s="11" t="s">
        <v>11</v>
      </c>
      <c r="E399" s="11" t="str">
        <f>"刘旭丽"</f>
        <v>刘旭丽</v>
      </c>
      <c r="F399" s="11" t="str">
        <f t="shared" si="32"/>
        <v>女</v>
      </c>
      <c r="G399" s="12"/>
    </row>
    <row r="400" spans="1:7" ht="30" customHeight="1">
      <c r="A400" s="10">
        <v>397</v>
      </c>
      <c r="B400" s="11" t="str">
        <f>"544120230823113650124432"</f>
        <v>544120230823113650124432</v>
      </c>
      <c r="C400" s="11" t="str">
        <f t="shared" si="31"/>
        <v>0103</v>
      </c>
      <c r="D400" s="11" t="s">
        <v>11</v>
      </c>
      <c r="E400" s="11" t="str">
        <f>"麦宜娟"</f>
        <v>麦宜娟</v>
      </c>
      <c r="F400" s="11" t="str">
        <f t="shared" si="32"/>
        <v>女</v>
      </c>
      <c r="G400" s="12"/>
    </row>
    <row r="401" spans="1:7" ht="30" customHeight="1">
      <c r="A401" s="10">
        <v>398</v>
      </c>
      <c r="B401" s="11" t="str">
        <f>"544120230823115725124433"</f>
        <v>544120230823115725124433</v>
      </c>
      <c r="C401" s="11" t="str">
        <f t="shared" si="31"/>
        <v>0103</v>
      </c>
      <c r="D401" s="11" t="s">
        <v>11</v>
      </c>
      <c r="E401" s="11" t="str">
        <f>"王敏"</f>
        <v>王敏</v>
      </c>
      <c r="F401" s="11" t="str">
        <f t="shared" si="32"/>
        <v>女</v>
      </c>
      <c r="G401" s="12"/>
    </row>
    <row r="402" spans="1:7" ht="30" customHeight="1">
      <c r="A402" s="10">
        <v>399</v>
      </c>
      <c r="B402" s="14" t="s">
        <v>12</v>
      </c>
      <c r="C402" s="11" t="str">
        <f t="shared" si="31"/>
        <v>0103</v>
      </c>
      <c r="D402" s="11" t="s">
        <v>11</v>
      </c>
      <c r="E402" s="11" t="s">
        <v>13</v>
      </c>
      <c r="F402" s="11" t="str">
        <f t="shared" si="32"/>
        <v>女</v>
      </c>
      <c r="G402" s="12"/>
    </row>
  </sheetData>
  <sheetProtection/>
  <mergeCells count="1">
    <mergeCell ref="A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levono</cp:lastModifiedBy>
  <dcterms:created xsi:type="dcterms:W3CDTF">2023-08-24T00:53:00Z</dcterms:created>
  <dcterms:modified xsi:type="dcterms:W3CDTF">2023-09-04T03:10:05Z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A0F5981BDAEA430C81D9AD1229A9923E_13</vt:lpwstr>
  </property>
  <property fmtid="{D5CDD505-2E9C-101B-9397-08002B2CF9AE}" pid="4" name="KSOProductBuildV">
    <vt:lpwstr>2052-11.8.2.11019</vt:lpwstr>
  </property>
</Properties>
</file>